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hana_vincalkova_kraj-lbc_cz/Documents/"/>
    </mc:Choice>
  </mc:AlternateContent>
  <xr:revisionPtr revIDLastSave="2" documentId="8_{7D869976-F427-447A-AD08-F07BC7682AA8}" xr6:coauthVersionLast="47" xr6:coauthVersionMax="47" xr10:uidLastSave="{9476941D-068D-4AA6-B185-409F3437402B}"/>
  <bookViews>
    <workbookView xWindow="-120" yWindow="-120" windowWidth="29040" windowHeight="15840" firstSheet="1" activeTab="2" xr2:uid="{9F80AE6C-88C8-43BC-B941-B1C701EDC765}"/>
  </bookViews>
  <sheets>
    <sheet name="List3" sheetId="3" state="hidden" r:id="rId1"/>
    <sheet name="Financování ZSLK 2024" sheetId="15" r:id="rId2"/>
    <sheet name="Financování ZSLK 2025" sheetId="16" r:id="rId3"/>
    <sheet name="List1" sheetId="1" state="hidden" r:id="rId4"/>
    <sheet name="List2" sheetId="10" state="hidden" r:id="rId5"/>
    <sheet name="Tabulka - financování kraj" sheetId="12" state="hidden" r:id="rId6"/>
    <sheet name="Graf1" sheetId="13" state="hidden" r:id="rId7"/>
    <sheet name="ÚZ_13305_2023" sheetId="14" state="hidden" r:id="rId8"/>
    <sheet name="do průběžek" sheetId="5" state="hidden" r:id="rId9"/>
    <sheet name="Data - Průběžky 2021" sheetId="4" state="hidden" r:id="rId10"/>
    <sheet name="Průběžky 2021 - celkové částky" sheetId="6" state="hidden" r:id="rId11"/>
    <sheet name="Průběžky 2021 - rozdělení" sheetId="7" state="hidden" r:id="rId12"/>
    <sheet name="List5" sheetId="9" state="hidden" r:id="rId13"/>
  </sheets>
  <definedNames>
    <definedName name="_xlnm._FilterDatabase" localSheetId="9" hidden="1">'Data - Průběžky 2021'!$A$2:$AM$238</definedName>
    <definedName name="_xlnm._FilterDatabase" localSheetId="8" hidden="1">'do průběžek'!$H$1:$J$1</definedName>
    <definedName name="_xlnm._FilterDatabase" localSheetId="1" hidden="1">'Financování ZSLK 2024'!$A$3:$Q$256</definedName>
    <definedName name="_xlnm._FilterDatabase" localSheetId="2" hidden="1">'Financování ZSLK 2025'!$A$3:$S$261</definedName>
    <definedName name="_xlnm._FilterDatabase" localSheetId="3" hidden="1">List1!$AB$1:$AC$4</definedName>
    <definedName name="_xlnm._FilterDatabase" localSheetId="4" hidden="1">List2!$A$1:$B$1</definedName>
    <definedName name="_xlnm._FilterDatabase" localSheetId="5" hidden="1">'Tabulka - financování kraj'!$A$4:$WG$260</definedName>
    <definedName name="_xlnm._FilterDatabase" localSheetId="7" hidden="1">ÚZ_13305_2023!$A$5:$S$238</definedName>
    <definedName name="_xlnm.Print_Titles" localSheetId="5">'Tabulka - financování kraj'!$4:$4</definedName>
    <definedName name="_xlnm.Print_Area" localSheetId="5">'Tabulka - financování kraj'!$A$1:$AC$260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5" l="1"/>
  <c r="M5" i="15"/>
  <c r="M6" i="15"/>
  <c r="M7" i="15"/>
  <c r="M8" i="15"/>
  <c r="M9" i="15"/>
  <c r="M10" i="15"/>
  <c r="M11" i="15"/>
  <c r="M12" i="15"/>
  <c r="M13" i="15"/>
  <c r="M14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8" i="15"/>
  <c r="M59" i="15"/>
  <c r="M61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8" i="15"/>
  <c r="M129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7" i="15"/>
  <c r="M148" i="15"/>
  <c r="M149" i="15"/>
  <c r="M150" i="15"/>
  <c r="M151" i="15"/>
  <c r="M152" i="15"/>
  <c r="M153" i="15"/>
  <c r="M154" i="15"/>
  <c r="M155" i="15"/>
  <c r="M156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4" i="15"/>
  <c r="M175" i="15"/>
  <c r="M176" i="15"/>
  <c r="M177" i="15"/>
  <c r="M178" i="15"/>
  <c r="M179" i="15"/>
  <c r="M180" i="15"/>
  <c r="M181" i="15"/>
  <c r="M182" i="15"/>
  <c r="M183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0" i="15"/>
  <c r="M201" i="15"/>
  <c r="M202" i="15"/>
  <c r="M203" i="15"/>
  <c r="M204" i="15"/>
  <c r="M205" i="15"/>
  <c r="M206" i="15"/>
  <c r="M207" i="15"/>
  <c r="M208" i="15"/>
  <c r="M209" i="15"/>
  <c r="M210" i="15"/>
  <c r="M211" i="15"/>
  <c r="M212" i="15"/>
  <c r="M213" i="15"/>
  <c r="M214" i="15"/>
  <c r="M215" i="15"/>
  <c r="M216" i="15"/>
  <c r="M217" i="15"/>
  <c r="M218" i="15"/>
  <c r="M219" i="15"/>
  <c r="M220" i="15"/>
  <c r="M221" i="15"/>
  <c r="M222" i="15"/>
  <c r="M223" i="15"/>
  <c r="M224" i="15"/>
  <c r="M226" i="15"/>
  <c r="M227" i="15"/>
  <c r="M228" i="15"/>
  <c r="M229" i="15"/>
  <c r="M230" i="15"/>
  <c r="M231" i="15"/>
  <c r="M232" i="15"/>
  <c r="M233" i="15"/>
  <c r="M234" i="15"/>
  <c r="M235" i="15"/>
  <c r="M236" i="15"/>
  <c r="M237" i="15"/>
  <c r="M238" i="15"/>
  <c r="M239" i="15"/>
  <c r="M240" i="15"/>
  <c r="M241" i="15"/>
  <c r="M242" i="15"/>
  <c r="M243" i="15"/>
  <c r="M244" i="15"/>
  <c r="M245" i="15"/>
  <c r="M246" i="15"/>
  <c r="M247" i="15"/>
  <c r="M248" i="15"/>
  <c r="M249" i="15"/>
  <c r="M250" i="15"/>
  <c r="M251" i="15"/>
  <c r="M252" i="15"/>
  <c r="M253" i="15"/>
  <c r="M254" i="15"/>
  <c r="M255" i="15"/>
  <c r="M256" i="15"/>
  <c r="P4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0" i="15"/>
  <c r="P101" i="15"/>
  <c r="P102" i="15"/>
  <c r="P103" i="15"/>
  <c r="P104" i="15"/>
  <c r="P105" i="15"/>
  <c r="P106" i="15"/>
  <c r="P107" i="15"/>
  <c r="P108" i="15"/>
  <c r="P109" i="15"/>
  <c r="P110" i="15"/>
  <c r="P111" i="15"/>
  <c r="P112" i="15"/>
  <c r="P113" i="15"/>
  <c r="P114" i="15"/>
  <c r="P115" i="15"/>
  <c r="P116" i="15"/>
  <c r="P117" i="15"/>
  <c r="P118" i="15"/>
  <c r="P119" i="15"/>
  <c r="P120" i="15"/>
  <c r="P121" i="15"/>
  <c r="P122" i="15"/>
  <c r="P123" i="15"/>
  <c r="P124" i="15"/>
  <c r="P125" i="15"/>
  <c r="P126" i="15"/>
  <c r="P127" i="15"/>
  <c r="P128" i="15"/>
  <c r="P129" i="15"/>
  <c r="P130" i="15"/>
  <c r="P131" i="15"/>
  <c r="P132" i="15"/>
  <c r="P133" i="15"/>
  <c r="P134" i="15"/>
  <c r="P135" i="15"/>
  <c r="P136" i="15"/>
  <c r="P137" i="15"/>
  <c r="P138" i="15"/>
  <c r="P139" i="15"/>
  <c r="P140" i="15"/>
  <c r="P141" i="15"/>
  <c r="P142" i="15"/>
  <c r="P143" i="15"/>
  <c r="P144" i="15"/>
  <c r="P145" i="15"/>
  <c r="P146" i="15"/>
  <c r="P147" i="15"/>
  <c r="P148" i="15"/>
  <c r="P149" i="15"/>
  <c r="P150" i="15"/>
  <c r="P151" i="15"/>
  <c r="P152" i="15"/>
  <c r="P153" i="15"/>
  <c r="P154" i="15"/>
  <c r="P155" i="15"/>
  <c r="P156" i="15"/>
  <c r="P158" i="15"/>
  <c r="P159" i="15"/>
  <c r="P160" i="15"/>
  <c r="P161" i="15"/>
  <c r="P162" i="15"/>
  <c r="P163" i="15"/>
  <c r="P164" i="15"/>
  <c r="P165" i="15"/>
  <c r="P166" i="15"/>
  <c r="P167" i="15"/>
  <c r="P168" i="15"/>
  <c r="P169" i="15"/>
  <c r="P170" i="15"/>
  <c r="P171" i="15"/>
  <c r="P172" i="15"/>
  <c r="P173" i="15"/>
  <c r="P174" i="15"/>
  <c r="P175" i="15"/>
  <c r="P176" i="15"/>
  <c r="P177" i="15"/>
  <c r="P178" i="15"/>
  <c r="P179" i="15"/>
  <c r="P180" i="15"/>
  <c r="P181" i="15"/>
  <c r="P182" i="15"/>
  <c r="P183" i="15"/>
  <c r="P184" i="15"/>
  <c r="P185" i="15"/>
  <c r="P186" i="15"/>
  <c r="P187" i="15"/>
  <c r="P188" i="15"/>
  <c r="P189" i="15"/>
  <c r="P190" i="15"/>
  <c r="P191" i="15"/>
  <c r="P192" i="15"/>
  <c r="P193" i="15"/>
  <c r="P194" i="15"/>
  <c r="P195" i="15"/>
  <c r="P196" i="15"/>
  <c r="P197" i="15"/>
  <c r="P198" i="15"/>
  <c r="P199" i="15"/>
  <c r="P200" i="15"/>
  <c r="P201" i="15"/>
  <c r="P202" i="15"/>
  <c r="P203" i="15"/>
  <c r="P204" i="15"/>
  <c r="P205" i="15"/>
  <c r="P206" i="15"/>
  <c r="P207" i="15"/>
  <c r="P208" i="15"/>
  <c r="P209" i="15"/>
  <c r="P210" i="15"/>
  <c r="P211" i="15"/>
  <c r="P212" i="15"/>
  <c r="P213" i="15"/>
  <c r="P214" i="15"/>
  <c r="P215" i="15"/>
  <c r="P216" i="15"/>
  <c r="P217" i="15"/>
  <c r="P218" i="15"/>
  <c r="P219" i="15"/>
  <c r="P220" i="15"/>
  <c r="P221" i="15"/>
  <c r="P222" i="15"/>
  <c r="P223" i="15"/>
  <c r="P224" i="15"/>
  <c r="P225" i="15"/>
  <c r="P226" i="15"/>
  <c r="P227" i="15"/>
  <c r="P228" i="15"/>
  <c r="P229" i="15"/>
  <c r="P230" i="15"/>
  <c r="P231" i="15"/>
  <c r="P232" i="15"/>
  <c r="P233" i="15"/>
  <c r="P234" i="15"/>
  <c r="P235" i="15"/>
  <c r="P236" i="15"/>
  <c r="P237" i="15"/>
  <c r="P238" i="15"/>
  <c r="P239" i="15"/>
  <c r="P240" i="15"/>
  <c r="P241" i="15"/>
  <c r="P242" i="15"/>
  <c r="P243" i="15"/>
  <c r="P244" i="15"/>
  <c r="P245" i="15"/>
  <c r="P246" i="15"/>
  <c r="P247" i="15"/>
  <c r="P248" i="15"/>
  <c r="P249" i="15"/>
  <c r="P250" i="15"/>
  <c r="P251" i="15"/>
  <c r="P252" i="15"/>
  <c r="P253" i="15"/>
  <c r="P254" i="15"/>
  <c r="P255" i="15"/>
  <c r="P256" i="15"/>
  <c r="P238" i="14" l="1"/>
  <c r="P237" i="14"/>
  <c r="P236" i="14"/>
  <c r="P235" i="14"/>
  <c r="P234" i="14"/>
  <c r="P233" i="14"/>
  <c r="P232" i="14"/>
  <c r="P231" i="14"/>
  <c r="P230" i="14"/>
  <c r="P229" i="14"/>
  <c r="N229" i="14"/>
  <c r="P228" i="14"/>
  <c r="P227" i="14"/>
  <c r="N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9" i="14"/>
  <c r="P208" i="14"/>
  <c r="P207" i="14"/>
  <c r="P206" i="14"/>
  <c r="P205" i="14"/>
  <c r="P204" i="14"/>
  <c r="P203" i="14"/>
  <c r="P202" i="14"/>
  <c r="P201" i="14"/>
  <c r="P200" i="14"/>
  <c r="P199" i="14"/>
  <c r="P198" i="14"/>
  <c r="P197" i="14"/>
  <c r="N197" i="14"/>
  <c r="P196" i="14"/>
  <c r="N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L128" i="14"/>
  <c r="L4" i="14" s="1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N105" i="14"/>
  <c r="P104" i="14"/>
  <c r="P103" i="14"/>
  <c r="N103" i="14"/>
  <c r="P102" i="14"/>
  <c r="N102" i="14"/>
  <c r="P101" i="14"/>
  <c r="N101" i="14"/>
  <c r="P100" i="14"/>
  <c r="N100" i="14"/>
  <c r="P99" i="14"/>
  <c r="N99" i="14"/>
  <c r="P98" i="14"/>
  <c r="N98" i="14"/>
  <c r="P97" i="14"/>
  <c r="P96" i="14"/>
  <c r="N96" i="14"/>
  <c r="P95" i="14"/>
  <c r="P94" i="14"/>
  <c r="P93" i="14"/>
  <c r="P92" i="14"/>
  <c r="P91" i="14"/>
  <c r="P90" i="14"/>
  <c r="P89" i="14"/>
  <c r="P88" i="14"/>
  <c r="P87" i="14"/>
  <c r="P86" i="14"/>
  <c r="P85" i="14"/>
  <c r="N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N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O4" i="14"/>
  <c r="M4" i="14"/>
  <c r="K4" i="14"/>
  <c r="H2" i="14"/>
  <c r="P4" i="14" l="1"/>
  <c r="N4" i="14"/>
  <c r="G5" i="9" l="1"/>
  <c r="F8" i="9" s="1"/>
  <c r="K78" i="7"/>
  <c r="I78" i="7"/>
  <c r="D78" i="7"/>
  <c r="C78" i="7"/>
  <c r="S72" i="7"/>
  <c r="J64" i="7"/>
  <c r="F18" i="7"/>
  <c r="H18" i="7" s="1"/>
  <c r="E18" i="7"/>
  <c r="G18" i="7" s="1"/>
  <c r="K42" i="6"/>
  <c r="K41" i="6"/>
  <c r="X40" i="6"/>
  <c r="K34" i="6"/>
  <c r="I34" i="6"/>
  <c r="D34" i="6"/>
  <c r="C34" i="6"/>
  <c r="N18" i="6"/>
  <c r="T17" i="6"/>
  <c r="H8" i="6"/>
  <c r="F8" i="6"/>
  <c r="E8" i="6"/>
  <c r="G8" i="6" s="1"/>
  <c r="B6" i="6"/>
  <c r="F6" i="6" s="1"/>
  <c r="H6" i="6" s="1"/>
  <c r="H238" i="4"/>
  <c r="G238" i="4"/>
  <c r="F238" i="4"/>
  <c r="E238" i="4"/>
  <c r="D238" i="4"/>
  <c r="H237" i="4"/>
  <c r="G237" i="4"/>
  <c r="F237" i="4"/>
  <c r="E237" i="4"/>
  <c r="D237" i="4"/>
  <c r="H236" i="4"/>
  <c r="G236" i="4"/>
  <c r="F236" i="4"/>
  <c r="E236" i="4"/>
  <c r="D236" i="4"/>
  <c r="H235" i="4"/>
  <c r="G235" i="4"/>
  <c r="F235" i="4"/>
  <c r="E235" i="4"/>
  <c r="D235" i="4"/>
  <c r="H234" i="4"/>
  <c r="G234" i="4"/>
  <c r="F234" i="4"/>
  <c r="E234" i="4"/>
  <c r="D234" i="4"/>
  <c r="H233" i="4"/>
  <c r="G233" i="4"/>
  <c r="F233" i="4"/>
  <c r="E233" i="4"/>
  <c r="D233" i="4"/>
  <c r="H232" i="4"/>
  <c r="G232" i="4"/>
  <c r="F232" i="4"/>
  <c r="E232" i="4"/>
  <c r="D232" i="4"/>
  <c r="H231" i="4"/>
  <c r="G231" i="4"/>
  <c r="F231" i="4"/>
  <c r="E231" i="4"/>
  <c r="D231" i="4"/>
  <c r="H230" i="4"/>
  <c r="G230" i="4"/>
  <c r="F230" i="4"/>
  <c r="E230" i="4"/>
  <c r="D230" i="4"/>
  <c r="H229" i="4"/>
  <c r="G229" i="4"/>
  <c r="F229" i="4"/>
  <c r="E229" i="4"/>
  <c r="D229" i="4"/>
  <c r="H228" i="4"/>
  <c r="G228" i="4"/>
  <c r="F228" i="4"/>
  <c r="E228" i="4"/>
  <c r="D228" i="4"/>
  <c r="H227" i="4"/>
  <c r="G227" i="4"/>
  <c r="F227" i="4"/>
  <c r="E227" i="4"/>
  <c r="D227" i="4"/>
  <c r="H226" i="4"/>
  <c r="G226" i="4"/>
  <c r="F226" i="4"/>
  <c r="E226" i="4"/>
  <c r="D226" i="4"/>
  <c r="H225" i="4"/>
  <c r="G225" i="4"/>
  <c r="F225" i="4"/>
  <c r="E225" i="4"/>
  <c r="D225" i="4"/>
  <c r="H224" i="4"/>
  <c r="G224" i="4"/>
  <c r="F224" i="4"/>
  <c r="E224" i="4"/>
  <c r="D224" i="4"/>
  <c r="H223" i="4"/>
  <c r="G223" i="4"/>
  <c r="F223" i="4"/>
  <c r="E223" i="4"/>
  <c r="D223" i="4"/>
  <c r="H222" i="4"/>
  <c r="G222" i="4"/>
  <c r="F222" i="4"/>
  <c r="E222" i="4"/>
  <c r="D222" i="4"/>
  <c r="H221" i="4"/>
  <c r="G221" i="4"/>
  <c r="F221" i="4"/>
  <c r="E221" i="4"/>
  <c r="D221" i="4"/>
  <c r="H220" i="4"/>
  <c r="G220" i="4"/>
  <c r="F220" i="4"/>
  <c r="E220" i="4"/>
  <c r="D220" i="4"/>
  <c r="H219" i="4"/>
  <c r="G219" i="4"/>
  <c r="F219" i="4"/>
  <c r="E219" i="4"/>
  <c r="D219" i="4"/>
  <c r="H218" i="4"/>
  <c r="G218" i="4"/>
  <c r="F218" i="4"/>
  <c r="E218" i="4"/>
  <c r="D218" i="4"/>
  <c r="H217" i="4"/>
  <c r="G217" i="4"/>
  <c r="F217" i="4"/>
  <c r="E217" i="4"/>
  <c r="D217" i="4"/>
  <c r="H216" i="4"/>
  <c r="G216" i="4"/>
  <c r="F216" i="4"/>
  <c r="E216" i="4"/>
  <c r="D216" i="4"/>
  <c r="H215" i="4"/>
  <c r="G215" i="4"/>
  <c r="F215" i="4"/>
  <c r="E215" i="4"/>
  <c r="D215" i="4"/>
  <c r="H214" i="4"/>
  <c r="G214" i="4"/>
  <c r="F214" i="4"/>
  <c r="E214" i="4"/>
  <c r="D214" i="4"/>
  <c r="H213" i="4"/>
  <c r="G213" i="4"/>
  <c r="F213" i="4"/>
  <c r="E213" i="4"/>
  <c r="D213" i="4"/>
  <c r="H212" i="4"/>
  <c r="G212" i="4"/>
  <c r="F212" i="4"/>
  <c r="E212" i="4"/>
  <c r="D212" i="4"/>
  <c r="H211" i="4"/>
  <c r="G211" i="4"/>
  <c r="F211" i="4"/>
  <c r="E211" i="4"/>
  <c r="D211" i="4"/>
  <c r="H210" i="4"/>
  <c r="G210" i="4"/>
  <c r="F210" i="4"/>
  <c r="E210" i="4"/>
  <c r="D210" i="4"/>
  <c r="H209" i="4"/>
  <c r="G209" i="4"/>
  <c r="F209" i="4"/>
  <c r="E209" i="4"/>
  <c r="D209" i="4"/>
  <c r="H208" i="4"/>
  <c r="G208" i="4"/>
  <c r="F208" i="4"/>
  <c r="E208" i="4"/>
  <c r="D208" i="4"/>
  <c r="H207" i="4"/>
  <c r="G207" i="4"/>
  <c r="F207" i="4"/>
  <c r="E207" i="4"/>
  <c r="D207" i="4"/>
  <c r="H206" i="4"/>
  <c r="G206" i="4"/>
  <c r="F206" i="4"/>
  <c r="E206" i="4"/>
  <c r="D206" i="4"/>
  <c r="H205" i="4"/>
  <c r="G205" i="4"/>
  <c r="F205" i="4"/>
  <c r="E205" i="4"/>
  <c r="D205" i="4"/>
  <c r="H204" i="4"/>
  <c r="G204" i="4"/>
  <c r="F204" i="4"/>
  <c r="E204" i="4"/>
  <c r="D204" i="4"/>
  <c r="H203" i="4"/>
  <c r="G203" i="4"/>
  <c r="F203" i="4"/>
  <c r="E203" i="4"/>
  <c r="D203" i="4"/>
  <c r="H202" i="4"/>
  <c r="G202" i="4"/>
  <c r="F202" i="4"/>
  <c r="D202" i="4"/>
  <c r="H201" i="4"/>
  <c r="G201" i="4"/>
  <c r="F201" i="4"/>
  <c r="E201" i="4"/>
  <c r="D201" i="4"/>
  <c r="H200" i="4"/>
  <c r="G200" i="4"/>
  <c r="F200" i="4"/>
  <c r="E200" i="4"/>
  <c r="D200" i="4"/>
  <c r="H199" i="4"/>
  <c r="G199" i="4"/>
  <c r="F199" i="4"/>
  <c r="E199" i="4"/>
  <c r="D199" i="4"/>
  <c r="H198" i="4"/>
  <c r="G198" i="4"/>
  <c r="F198" i="4"/>
  <c r="E198" i="4"/>
  <c r="D198" i="4"/>
  <c r="H197" i="4"/>
  <c r="G197" i="4"/>
  <c r="F197" i="4"/>
  <c r="E197" i="4"/>
  <c r="D197" i="4"/>
  <c r="H196" i="4"/>
  <c r="G196" i="4"/>
  <c r="F196" i="4"/>
  <c r="E196" i="4"/>
  <c r="D196" i="4"/>
  <c r="H195" i="4"/>
  <c r="G195" i="4"/>
  <c r="F195" i="4"/>
  <c r="E195" i="4"/>
  <c r="D195" i="4"/>
  <c r="H194" i="4"/>
  <c r="G194" i="4"/>
  <c r="F194" i="4"/>
  <c r="E194" i="4"/>
  <c r="D194" i="4"/>
  <c r="H193" i="4"/>
  <c r="G193" i="4"/>
  <c r="F193" i="4"/>
  <c r="E193" i="4"/>
  <c r="D193" i="4"/>
  <c r="H192" i="4"/>
  <c r="G192" i="4"/>
  <c r="F192" i="4"/>
  <c r="E192" i="4"/>
  <c r="D192" i="4"/>
  <c r="H191" i="4"/>
  <c r="G191" i="4"/>
  <c r="F191" i="4"/>
  <c r="E191" i="4"/>
  <c r="D191" i="4"/>
  <c r="H190" i="4"/>
  <c r="G190" i="4"/>
  <c r="F190" i="4"/>
  <c r="E190" i="4"/>
  <c r="D190" i="4"/>
  <c r="H189" i="4"/>
  <c r="G189" i="4"/>
  <c r="F189" i="4"/>
  <c r="E189" i="4"/>
  <c r="D189" i="4"/>
  <c r="H188" i="4"/>
  <c r="G188" i="4"/>
  <c r="F188" i="4"/>
  <c r="E188" i="4"/>
  <c r="D188" i="4"/>
  <c r="H187" i="4"/>
  <c r="G187" i="4"/>
  <c r="F187" i="4"/>
  <c r="E187" i="4"/>
  <c r="D187" i="4"/>
  <c r="H186" i="4"/>
  <c r="G186" i="4"/>
  <c r="F186" i="4"/>
  <c r="E186" i="4"/>
  <c r="D186" i="4"/>
  <c r="H185" i="4"/>
  <c r="G185" i="4"/>
  <c r="F185" i="4"/>
  <c r="E185" i="4"/>
  <c r="D185" i="4"/>
  <c r="H184" i="4"/>
  <c r="G184" i="4"/>
  <c r="F184" i="4"/>
  <c r="E184" i="4"/>
  <c r="D184" i="4"/>
  <c r="H183" i="4"/>
  <c r="G183" i="4"/>
  <c r="F183" i="4"/>
  <c r="E183" i="4"/>
  <c r="D183" i="4"/>
  <c r="H182" i="4"/>
  <c r="G182" i="4"/>
  <c r="F182" i="4"/>
  <c r="E182" i="4"/>
  <c r="D182" i="4"/>
  <c r="H181" i="4"/>
  <c r="G181" i="4"/>
  <c r="F181" i="4"/>
  <c r="E181" i="4"/>
  <c r="D181" i="4"/>
  <c r="H180" i="4"/>
  <c r="G180" i="4"/>
  <c r="F180" i="4"/>
  <c r="E180" i="4"/>
  <c r="D180" i="4"/>
  <c r="H179" i="4"/>
  <c r="G179" i="4"/>
  <c r="F179" i="4"/>
  <c r="E179" i="4"/>
  <c r="D179" i="4"/>
  <c r="H178" i="4"/>
  <c r="G178" i="4"/>
  <c r="F178" i="4"/>
  <c r="E178" i="4"/>
  <c r="D178" i="4"/>
  <c r="H177" i="4"/>
  <c r="G177" i="4"/>
  <c r="F177" i="4"/>
  <c r="E177" i="4"/>
  <c r="D177" i="4"/>
  <c r="H176" i="4"/>
  <c r="G176" i="4"/>
  <c r="F176" i="4"/>
  <c r="E176" i="4"/>
  <c r="D176" i="4"/>
  <c r="H175" i="4"/>
  <c r="G175" i="4"/>
  <c r="F175" i="4"/>
  <c r="E175" i="4"/>
  <c r="D175" i="4"/>
  <c r="H174" i="4"/>
  <c r="G174" i="4"/>
  <c r="F174" i="4"/>
  <c r="E174" i="4"/>
  <c r="D174" i="4"/>
  <c r="H173" i="4"/>
  <c r="G173" i="4"/>
  <c r="F173" i="4"/>
  <c r="E173" i="4"/>
  <c r="D173" i="4"/>
  <c r="H172" i="4"/>
  <c r="G172" i="4"/>
  <c r="F172" i="4"/>
  <c r="E172" i="4"/>
  <c r="D172" i="4"/>
  <c r="H171" i="4"/>
  <c r="G171" i="4"/>
  <c r="F171" i="4"/>
  <c r="E171" i="4"/>
  <c r="D171" i="4"/>
  <c r="H170" i="4"/>
  <c r="G170" i="4"/>
  <c r="F170" i="4"/>
  <c r="E170" i="4"/>
  <c r="D170" i="4"/>
  <c r="H169" i="4"/>
  <c r="G169" i="4"/>
  <c r="F169" i="4"/>
  <c r="E169" i="4"/>
  <c r="D169" i="4"/>
  <c r="H168" i="4"/>
  <c r="G168" i="4"/>
  <c r="F168" i="4"/>
  <c r="E168" i="4"/>
  <c r="D168" i="4"/>
  <c r="H167" i="4"/>
  <c r="G167" i="4"/>
  <c r="F167" i="4"/>
  <c r="E167" i="4"/>
  <c r="D167" i="4"/>
  <c r="H166" i="4"/>
  <c r="G166" i="4"/>
  <c r="F166" i="4"/>
  <c r="E166" i="4"/>
  <c r="D166" i="4"/>
  <c r="H165" i="4"/>
  <c r="G165" i="4"/>
  <c r="F165" i="4"/>
  <c r="E165" i="4"/>
  <c r="D165" i="4"/>
  <c r="H164" i="4"/>
  <c r="G164" i="4"/>
  <c r="F164" i="4"/>
  <c r="E164" i="4"/>
  <c r="D164" i="4"/>
  <c r="H163" i="4"/>
  <c r="G163" i="4"/>
  <c r="F163" i="4"/>
  <c r="E163" i="4"/>
  <c r="D163" i="4"/>
  <c r="H162" i="4"/>
  <c r="G162" i="4"/>
  <c r="F162" i="4"/>
  <c r="E162" i="4"/>
  <c r="D162" i="4"/>
  <c r="H161" i="4"/>
  <c r="G161" i="4"/>
  <c r="F161" i="4"/>
  <c r="E161" i="4"/>
  <c r="D161" i="4"/>
  <c r="H160" i="4"/>
  <c r="G160" i="4"/>
  <c r="F160" i="4"/>
  <c r="E160" i="4"/>
  <c r="D160" i="4"/>
  <c r="H159" i="4"/>
  <c r="G159" i="4"/>
  <c r="F159" i="4"/>
  <c r="E159" i="4"/>
  <c r="D159" i="4"/>
  <c r="H158" i="4"/>
  <c r="G158" i="4"/>
  <c r="F158" i="4"/>
  <c r="E158" i="4"/>
  <c r="D158" i="4"/>
  <c r="H157" i="4"/>
  <c r="G157" i="4"/>
  <c r="F157" i="4"/>
  <c r="E157" i="4"/>
  <c r="D157" i="4"/>
  <c r="H156" i="4"/>
  <c r="G156" i="4"/>
  <c r="F156" i="4"/>
  <c r="E156" i="4"/>
  <c r="D156" i="4"/>
  <c r="H155" i="4"/>
  <c r="G155" i="4"/>
  <c r="F155" i="4"/>
  <c r="E155" i="4"/>
  <c r="D155" i="4"/>
  <c r="H154" i="4"/>
  <c r="G154" i="4"/>
  <c r="F154" i="4"/>
  <c r="E154" i="4"/>
  <c r="D154" i="4"/>
  <c r="H153" i="4"/>
  <c r="G153" i="4"/>
  <c r="F153" i="4"/>
  <c r="E153" i="4"/>
  <c r="D153" i="4"/>
  <c r="H152" i="4"/>
  <c r="G152" i="4"/>
  <c r="F152" i="4"/>
  <c r="E152" i="4"/>
  <c r="D152" i="4"/>
  <c r="H151" i="4"/>
  <c r="G151" i="4"/>
  <c r="F151" i="4"/>
  <c r="E151" i="4"/>
  <c r="D151" i="4"/>
  <c r="H150" i="4"/>
  <c r="G150" i="4"/>
  <c r="F150" i="4"/>
  <c r="E150" i="4"/>
  <c r="D150" i="4"/>
  <c r="H149" i="4"/>
  <c r="G149" i="4"/>
  <c r="F149" i="4"/>
  <c r="E149" i="4"/>
  <c r="D149" i="4"/>
  <c r="H148" i="4"/>
  <c r="G148" i="4"/>
  <c r="F148" i="4"/>
  <c r="E148" i="4"/>
  <c r="D148" i="4"/>
  <c r="H147" i="4"/>
  <c r="G147" i="4"/>
  <c r="F147" i="4"/>
  <c r="E147" i="4"/>
  <c r="D147" i="4"/>
  <c r="H146" i="4"/>
  <c r="G146" i="4"/>
  <c r="F146" i="4"/>
  <c r="E146" i="4"/>
  <c r="D146" i="4"/>
  <c r="H145" i="4"/>
  <c r="G145" i="4"/>
  <c r="F145" i="4"/>
  <c r="E145" i="4"/>
  <c r="D145" i="4"/>
  <c r="H144" i="4"/>
  <c r="G144" i="4"/>
  <c r="F144" i="4"/>
  <c r="E144" i="4"/>
  <c r="D144" i="4"/>
  <c r="H143" i="4"/>
  <c r="G143" i="4"/>
  <c r="F143" i="4"/>
  <c r="E143" i="4"/>
  <c r="D143" i="4"/>
  <c r="H142" i="4"/>
  <c r="G142" i="4"/>
  <c r="F142" i="4"/>
  <c r="E142" i="4"/>
  <c r="D142" i="4"/>
  <c r="H141" i="4"/>
  <c r="G141" i="4"/>
  <c r="F141" i="4"/>
  <c r="E141" i="4"/>
  <c r="D141" i="4"/>
  <c r="H140" i="4"/>
  <c r="G140" i="4"/>
  <c r="F140" i="4"/>
  <c r="E140" i="4"/>
  <c r="D140" i="4"/>
  <c r="H139" i="4"/>
  <c r="G139" i="4"/>
  <c r="F139" i="4"/>
  <c r="E139" i="4"/>
  <c r="D139" i="4"/>
  <c r="H138" i="4"/>
  <c r="G138" i="4"/>
  <c r="F138" i="4"/>
  <c r="E138" i="4"/>
  <c r="D138" i="4"/>
  <c r="H137" i="4"/>
  <c r="G137" i="4"/>
  <c r="F137" i="4"/>
  <c r="E137" i="4"/>
  <c r="D137" i="4"/>
  <c r="H136" i="4"/>
  <c r="G136" i="4"/>
  <c r="F136" i="4"/>
  <c r="E136" i="4"/>
  <c r="D136" i="4"/>
  <c r="H135" i="4"/>
  <c r="G135" i="4"/>
  <c r="F135" i="4"/>
  <c r="E135" i="4"/>
  <c r="D135" i="4"/>
  <c r="H134" i="4"/>
  <c r="G134" i="4"/>
  <c r="F134" i="4"/>
  <c r="E134" i="4"/>
  <c r="D134" i="4"/>
  <c r="H133" i="4"/>
  <c r="G133" i="4"/>
  <c r="F133" i="4"/>
  <c r="E133" i="4"/>
  <c r="D133" i="4"/>
  <c r="H132" i="4"/>
  <c r="G132" i="4"/>
  <c r="F132" i="4"/>
  <c r="E132" i="4"/>
  <c r="D132" i="4"/>
  <c r="H131" i="4"/>
  <c r="G131" i="4"/>
  <c r="F131" i="4"/>
  <c r="E131" i="4"/>
  <c r="D131" i="4"/>
  <c r="H130" i="4"/>
  <c r="G130" i="4"/>
  <c r="F130" i="4"/>
  <c r="E130" i="4"/>
  <c r="D130" i="4"/>
  <c r="H129" i="4"/>
  <c r="G129" i="4"/>
  <c r="F129" i="4"/>
  <c r="E129" i="4"/>
  <c r="D129" i="4"/>
  <c r="H128" i="4"/>
  <c r="G128" i="4"/>
  <c r="F128" i="4"/>
  <c r="E128" i="4"/>
  <c r="D128" i="4"/>
  <c r="H127" i="4"/>
  <c r="G127" i="4"/>
  <c r="F127" i="4"/>
  <c r="E127" i="4"/>
  <c r="D127" i="4"/>
  <c r="H126" i="4"/>
  <c r="G126" i="4"/>
  <c r="F126" i="4"/>
  <c r="E126" i="4"/>
  <c r="D126" i="4"/>
  <c r="H125" i="4"/>
  <c r="G125" i="4"/>
  <c r="F125" i="4"/>
  <c r="E125" i="4"/>
  <c r="D125" i="4"/>
  <c r="H124" i="4"/>
  <c r="G124" i="4"/>
  <c r="F124" i="4"/>
  <c r="E124" i="4"/>
  <c r="D124" i="4"/>
  <c r="H123" i="4"/>
  <c r="G123" i="4"/>
  <c r="F123" i="4"/>
  <c r="E123" i="4"/>
  <c r="D123" i="4"/>
  <c r="H122" i="4"/>
  <c r="G122" i="4"/>
  <c r="F122" i="4"/>
  <c r="E122" i="4"/>
  <c r="D122" i="4"/>
  <c r="H121" i="4"/>
  <c r="G121" i="4"/>
  <c r="F121" i="4"/>
  <c r="E121" i="4"/>
  <c r="D121" i="4"/>
  <c r="H120" i="4"/>
  <c r="G120" i="4"/>
  <c r="F120" i="4"/>
  <c r="E120" i="4"/>
  <c r="D120" i="4"/>
  <c r="H119" i="4"/>
  <c r="G119" i="4"/>
  <c r="F119" i="4"/>
  <c r="E119" i="4"/>
  <c r="D119" i="4"/>
  <c r="H118" i="4"/>
  <c r="G118" i="4"/>
  <c r="F118" i="4"/>
  <c r="E118" i="4"/>
  <c r="D118" i="4"/>
  <c r="H117" i="4"/>
  <c r="G117" i="4"/>
  <c r="F117" i="4"/>
  <c r="E117" i="4"/>
  <c r="D117" i="4"/>
  <c r="H116" i="4"/>
  <c r="G116" i="4"/>
  <c r="F116" i="4"/>
  <c r="E116" i="4"/>
  <c r="D116" i="4"/>
  <c r="H115" i="4"/>
  <c r="G115" i="4"/>
  <c r="F115" i="4"/>
  <c r="E115" i="4"/>
  <c r="D115" i="4"/>
  <c r="H114" i="4"/>
  <c r="G114" i="4"/>
  <c r="F114" i="4"/>
  <c r="E114" i="4"/>
  <c r="D114" i="4"/>
  <c r="H113" i="4"/>
  <c r="G113" i="4"/>
  <c r="F113" i="4"/>
  <c r="E113" i="4"/>
  <c r="D113" i="4"/>
  <c r="H112" i="4"/>
  <c r="G112" i="4"/>
  <c r="F112" i="4"/>
  <c r="E112" i="4"/>
  <c r="D112" i="4"/>
  <c r="H111" i="4"/>
  <c r="G111" i="4"/>
  <c r="F111" i="4"/>
  <c r="E111" i="4"/>
  <c r="D111" i="4"/>
  <c r="H110" i="4"/>
  <c r="G110" i="4"/>
  <c r="F110" i="4"/>
  <c r="E110" i="4"/>
  <c r="D110" i="4"/>
  <c r="H109" i="4"/>
  <c r="G109" i="4"/>
  <c r="F109" i="4"/>
  <c r="E109" i="4"/>
  <c r="D109" i="4"/>
  <c r="H108" i="4"/>
  <c r="G108" i="4"/>
  <c r="F108" i="4"/>
  <c r="E108" i="4"/>
  <c r="D108" i="4"/>
  <c r="H107" i="4"/>
  <c r="G107" i="4"/>
  <c r="F107" i="4"/>
  <c r="E107" i="4"/>
  <c r="D107" i="4"/>
  <c r="H106" i="4"/>
  <c r="G106" i="4"/>
  <c r="F106" i="4"/>
  <c r="E106" i="4"/>
  <c r="D106" i="4"/>
  <c r="H105" i="4"/>
  <c r="G105" i="4"/>
  <c r="F105" i="4"/>
  <c r="E105" i="4"/>
  <c r="D105" i="4"/>
  <c r="H104" i="4"/>
  <c r="G104" i="4"/>
  <c r="F104" i="4"/>
  <c r="E104" i="4"/>
  <c r="D104" i="4"/>
  <c r="H103" i="4"/>
  <c r="G103" i="4"/>
  <c r="F103" i="4"/>
  <c r="E103" i="4"/>
  <c r="D103" i="4"/>
  <c r="H102" i="4"/>
  <c r="G102" i="4"/>
  <c r="F102" i="4"/>
  <c r="E102" i="4"/>
  <c r="D102" i="4"/>
  <c r="H101" i="4"/>
  <c r="G101" i="4"/>
  <c r="F101" i="4"/>
  <c r="E101" i="4"/>
  <c r="D101" i="4"/>
  <c r="H100" i="4"/>
  <c r="G100" i="4"/>
  <c r="F100" i="4"/>
  <c r="E100" i="4"/>
  <c r="D100" i="4"/>
  <c r="H99" i="4"/>
  <c r="G99" i="4"/>
  <c r="F99" i="4"/>
  <c r="E99" i="4"/>
  <c r="D99" i="4"/>
  <c r="H98" i="4"/>
  <c r="G98" i="4"/>
  <c r="F98" i="4"/>
  <c r="E98" i="4"/>
  <c r="D98" i="4"/>
  <c r="H97" i="4"/>
  <c r="G97" i="4"/>
  <c r="F97" i="4"/>
  <c r="E97" i="4"/>
  <c r="D97" i="4"/>
  <c r="H96" i="4"/>
  <c r="G96" i="4"/>
  <c r="F96" i="4"/>
  <c r="E96" i="4"/>
  <c r="D96" i="4"/>
  <c r="H95" i="4"/>
  <c r="G95" i="4"/>
  <c r="F95" i="4"/>
  <c r="E95" i="4"/>
  <c r="D95" i="4"/>
  <c r="H94" i="4"/>
  <c r="G94" i="4"/>
  <c r="F94" i="4"/>
  <c r="E94" i="4"/>
  <c r="D94" i="4"/>
  <c r="H93" i="4"/>
  <c r="G93" i="4"/>
  <c r="F93" i="4"/>
  <c r="E93" i="4"/>
  <c r="D93" i="4"/>
  <c r="H92" i="4"/>
  <c r="G92" i="4"/>
  <c r="F92" i="4"/>
  <c r="E92" i="4"/>
  <c r="D92" i="4"/>
  <c r="H91" i="4"/>
  <c r="G91" i="4"/>
  <c r="F91" i="4"/>
  <c r="E91" i="4"/>
  <c r="D91" i="4"/>
  <c r="H90" i="4"/>
  <c r="G90" i="4"/>
  <c r="F90" i="4"/>
  <c r="E90" i="4"/>
  <c r="D90" i="4"/>
  <c r="H89" i="4"/>
  <c r="G89" i="4"/>
  <c r="F89" i="4"/>
  <c r="E89" i="4"/>
  <c r="D89" i="4"/>
  <c r="H88" i="4"/>
  <c r="G88" i="4"/>
  <c r="F88" i="4"/>
  <c r="E88" i="4"/>
  <c r="D88" i="4"/>
  <c r="H87" i="4"/>
  <c r="G87" i="4"/>
  <c r="F87" i="4"/>
  <c r="E87" i="4"/>
  <c r="D87" i="4"/>
  <c r="H86" i="4"/>
  <c r="G86" i="4"/>
  <c r="F86" i="4"/>
  <c r="E86" i="4"/>
  <c r="D86" i="4"/>
  <c r="H85" i="4"/>
  <c r="G85" i="4"/>
  <c r="F85" i="4"/>
  <c r="E85" i="4"/>
  <c r="D85" i="4"/>
  <c r="H84" i="4"/>
  <c r="G84" i="4"/>
  <c r="F84" i="4"/>
  <c r="E84" i="4"/>
  <c r="D84" i="4"/>
  <c r="H83" i="4"/>
  <c r="G83" i="4"/>
  <c r="F83" i="4"/>
  <c r="E83" i="4"/>
  <c r="D83" i="4"/>
  <c r="H82" i="4"/>
  <c r="G82" i="4"/>
  <c r="F82" i="4"/>
  <c r="E82" i="4"/>
  <c r="D82" i="4"/>
  <c r="H81" i="4"/>
  <c r="G81" i="4"/>
  <c r="F81" i="4"/>
  <c r="E81" i="4"/>
  <c r="D81" i="4"/>
  <c r="H80" i="4"/>
  <c r="G80" i="4"/>
  <c r="F80" i="4"/>
  <c r="E80" i="4"/>
  <c r="D80" i="4"/>
  <c r="H79" i="4"/>
  <c r="G79" i="4"/>
  <c r="F79" i="4"/>
  <c r="E79" i="4"/>
  <c r="D79" i="4"/>
  <c r="H78" i="4"/>
  <c r="G78" i="4"/>
  <c r="F78" i="4"/>
  <c r="E78" i="4"/>
  <c r="D78" i="4"/>
  <c r="H77" i="4"/>
  <c r="G77" i="4"/>
  <c r="F77" i="4"/>
  <c r="E77" i="4"/>
  <c r="D77" i="4"/>
  <c r="H76" i="4"/>
  <c r="G76" i="4"/>
  <c r="F76" i="4"/>
  <c r="E76" i="4"/>
  <c r="D76" i="4"/>
  <c r="H75" i="4"/>
  <c r="G75" i="4"/>
  <c r="F75" i="4"/>
  <c r="E75" i="4"/>
  <c r="D75" i="4"/>
  <c r="H74" i="4"/>
  <c r="G74" i="4"/>
  <c r="F74" i="4"/>
  <c r="E74" i="4"/>
  <c r="D74" i="4"/>
  <c r="H73" i="4"/>
  <c r="G73" i="4"/>
  <c r="F73" i="4"/>
  <c r="E73" i="4"/>
  <c r="D73" i="4"/>
  <c r="H72" i="4"/>
  <c r="G72" i="4"/>
  <c r="F72" i="4"/>
  <c r="E72" i="4"/>
  <c r="D72" i="4"/>
  <c r="H71" i="4"/>
  <c r="G71" i="4"/>
  <c r="F71" i="4"/>
  <c r="E71" i="4"/>
  <c r="D71" i="4"/>
  <c r="H70" i="4"/>
  <c r="G70" i="4"/>
  <c r="F70" i="4"/>
  <c r="E70" i="4"/>
  <c r="D70" i="4"/>
  <c r="H69" i="4"/>
  <c r="G69" i="4"/>
  <c r="F69" i="4"/>
  <c r="E69" i="4"/>
  <c r="D69" i="4"/>
  <c r="H68" i="4"/>
  <c r="G68" i="4"/>
  <c r="F68" i="4"/>
  <c r="E68" i="4"/>
  <c r="D68" i="4"/>
  <c r="H67" i="4"/>
  <c r="G67" i="4"/>
  <c r="F67" i="4"/>
  <c r="D67" i="4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4" i="4"/>
  <c r="G54" i="4"/>
  <c r="F54" i="4"/>
  <c r="E54" i="4"/>
  <c r="D54" i="4"/>
  <c r="H53" i="4"/>
  <c r="G53" i="4"/>
  <c r="F53" i="4"/>
  <c r="E53" i="4"/>
  <c r="D53" i="4"/>
  <c r="H52" i="4"/>
  <c r="G52" i="4"/>
  <c r="F52" i="4"/>
  <c r="E52" i="4"/>
  <c r="D52" i="4"/>
  <c r="H51" i="4"/>
  <c r="G51" i="4"/>
  <c r="F51" i="4"/>
  <c r="E51" i="4"/>
  <c r="D51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7" i="4"/>
  <c r="G47" i="4"/>
  <c r="F47" i="4"/>
  <c r="E47" i="4"/>
  <c r="D47" i="4"/>
  <c r="H46" i="4"/>
  <c r="G46" i="4"/>
  <c r="F46" i="4"/>
  <c r="E46" i="4"/>
  <c r="D46" i="4"/>
  <c r="H45" i="4"/>
  <c r="G45" i="4"/>
  <c r="F45" i="4"/>
  <c r="E45" i="4"/>
  <c r="D45" i="4"/>
  <c r="H44" i="4"/>
  <c r="G44" i="4"/>
  <c r="F44" i="4"/>
  <c r="E44" i="4"/>
  <c r="D44" i="4"/>
  <c r="H43" i="4"/>
  <c r="G43" i="4"/>
  <c r="F43" i="4"/>
  <c r="E43" i="4"/>
  <c r="D43" i="4"/>
  <c r="H42" i="4"/>
  <c r="G42" i="4"/>
  <c r="F42" i="4"/>
  <c r="E42" i="4"/>
  <c r="D42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G37" i="4"/>
  <c r="F37" i="4"/>
  <c r="E37" i="4"/>
  <c r="D37" i="4"/>
  <c r="H36" i="4"/>
  <c r="G36" i="4"/>
  <c r="F36" i="4"/>
  <c r="E36" i="4"/>
  <c r="D36" i="4"/>
  <c r="H35" i="4"/>
  <c r="G35" i="4"/>
  <c r="F35" i="4"/>
  <c r="E35" i="4"/>
  <c r="D35" i="4"/>
  <c r="H34" i="4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E26" i="4"/>
  <c r="D26" i="4"/>
  <c r="H25" i="4"/>
  <c r="G25" i="4"/>
  <c r="F25" i="4"/>
  <c r="E25" i="4"/>
  <c r="D25" i="4"/>
  <c r="H24" i="4"/>
  <c r="G24" i="4"/>
  <c r="F24" i="4"/>
  <c r="E24" i="4"/>
  <c r="D24" i="4"/>
  <c r="H23" i="4"/>
  <c r="G23" i="4"/>
  <c r="F23" i="4"/>
  <c r="E23" i="4"/>
  <c r="D23" i="4"/>
  <c r="H22" i="4"/>
  <c r="G22" i="4"/>
  <c r="F22" i="4"/>
  <c r="E22" i="4"/>
  <c r="D22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14" i="4"/>
  <c r="G14" i="4"/>
  <c r="F14" i="4"/>
  <c r="E14" i="4"/>
  <c r="D14" i="4"/>
  <c r="H13" i="4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  <c r="H8" i="4"/>
  <c r="G8" i="4"/>
  <c r="F8" i="4"/>
  <c r="E8" i="4"/>
  <c r="D8" i="4"/>
  <c r="H7" i="4"/>
  <c r="G7" i="4"/>
  <c r="F7" i="4"/>
  <c r="E7" i="4"/>
  <c r="D7" i="4"/>
  <c r="H6" i="4"/>
  <c r="G6" i="4"/>
  <c r="F6" i="4"/>
  <c r="E6" i="4"/>
  <c r="D6" i="4"/>
  <c r="H5" i="4"/>
  <c r="G5" i="4"/>
  <c r="F5" i="4"/>
  <c r="E5" i="4"/>
  <c r="D5" i="4"/>
  <c r="H4" i="4"/>
  <c r="G4" i="4"/>
  <c r="F4" i="4"/>
  <c r="E4" i="4"/>
  <c r="D4" i="4"/>
  <c r="H3" i="4"/>
  <c r="G3" i="4"/>
  <c r="F3" i="4"/>
  <c r="E3" i="4"/>
  <c r="O32" i="6" s="1"/>
  <c r="D3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AG260" i="12"/>
  <c r="AA260" i="12"/>
  <c r="Z260" i="12"/>
  <c r="AF260" i="12" s="1"/>
  <c r="S260" i="12"/>
  <c r="Q260" i="12"/>
  <c r="T260" i="12" s="1"/>
  <c r="X260" i="12" s="1"/>
  <c r="O260" i="12"/>
  <c r="AA259" i="12"/>
  <c r="AG259" i="12" s="1"/>
  <c r="Z259" i="12"/>
  <c r="S259" i="12"/>
  <c r="Q259" i="12"/>
  <c r="T259" i="12" s="1"/>
  <c r="X259" i="12" s="1"/>
  <c r="O259" i="12"/>
  <c r="AA258" i="12"/>
  <c r="AG258" i="12" s="1"/>
  <c r="Z258" i="12"/>
  <c r="T258" i="12"/>
  <c r="X258" i="12" s="1"/>
  <c r="S258" i="12"/>
  <c r="Q258" i="12"/>
  <c r="O258" i="12"/>
  <c r="AA257" i="12"/>
  <c r="AG257" i="12" s="1"/>
  <c r="Z257" i="12"/>
  <c r="S257" i="12"/>
  <c r="T257" i="12" s="1"/>
  <c r="X257" i="12" s="1"/>
  <c r="Q257" i="12"/>
  <c r="O257" i="12"/>
  <c r="AA256" i="12"/>
  <c r="AG256" i="12" s="1"/>
  <c r="Z256" i="12"/>
  <c r="X256" i="12"/>
  <c r="T256" i="12"/>
  <c r="S256" i="12"/>
  <c r="Q256" i="12"/>
  <c r="O256" i="12"/>
  <c r="AA255" i="12"/>
  <c r="AG255" i="12" s="1"/>
  <c r="Z255" i="12"/>
  <c r="X255" i="12"/>
  <c r="T255" i="12"/>
  <c r="S255" i="12"/>
  <c r="Q255" i="12"/>
  <c r="O255" i="12"/>
  <c r="AA254" i="12"/>
  <c r="AG254" i="12" s="1"/>
  <c r="Z254" i="12"/>
  <c r="AF254" i="12" s="1"/>
  <c r="S254" i="12"/>
  <c r="Q254" i="12"/>
  <c r="T254" i="12" s="1"/>
  <c r="X254" i="12" s="1"/>
  <c r="O254" i="12"/>
  <c r="AA253" i="12"/>
  <c r="AG253" i="12" s="1"/>
  <c r="Z253" i="12"/>
  <c r="AD253" i="12" s="1"/>
  <c r="S253" i="12"/>
  <c r="Q253" i="12"/>
  <c r="T253" i="12" s="1"/>
  <c r="X253" i="12" s="1"/>
  <c r="O253" i="12"/>
  <c r="AA252" i="12"/>
  <c r="AG252" i="12" s="1"/>
  <c r="Z252" i="12"/>
  <c r="X252" i="12"/>
  <c r="T252" i="12"/>
  <c r="S252" i="12"/>
  <c r="Q252" i="12"/>
  <c r="O252" i="12"/>
  <c r="AA251" i="12"/>
  <c r="Z251" i="12"/>
  <c r="S251" i="12"/>
  <c r="Q251" i="12"/>
  <c r="T251" i="12" s="1"/>
  <c r="X251" i="12" s="1"/>
  <c r="O251" i="12"/>
  <c r="AA250" i="12"/>
  <c r="AG250" i="12" s="1"/>
  <c r="Z250" i="12"/>
  <c r="AF250" i="12" s="1"/>
  <c r="S250" i="12"/>
  <c r="Q250" i="12"/>
  <c r="T250" i="12" s="1"/>
  <c r="X250" i="12" s="1"/>
  <c r="O250" i="12"/>
  <c r="N250" i="12"/>
  <c r="AA249" i="12"/>
  <c r="Z249" i="12"/>
  <c r="U249" i="12"/>
  <c r="T249" i="12"/>
  <c r="S249" i="12"/>
  <c r="Q249" i="12"/>
  <c r="P249" i="12"/>
  <c r="O249" i="12"/>
  <c r="L249" i="12"/>
  <c r="K249" i="12"/>
  <c r="J249" i="12"/>
  <c r="I249" i="12"/>
  <c r="H249" i="12"/>
  <c r="G249" i="12"/>
  <c r="AA248" i="12"/>
  <c r="Z248" i="12"/>
  <c r="U248" i="12"/>
  <c r="S248" i="12"/>
  <c r="T248" i="12" s="1"/>
  <c r="X248" i="12" s="1"/>
  <c r="Q248" i="12"/>
  <c r="P248" i="12"/>
  <c r="O248" i="12"/>
  <c r="L248" i="12"/>
  <c r="K248" i="12"/>
  <c r="I248" i="12"/>
  <c r="H248" i="12"/>
  <c r="J248" i="12" s="1"/>
  <c r="G248" i="12"/>
  <c r="AA247" i="12"/>
  <c r="Z247" i="12"/>
  <c r="U247" i="12"/>
  <c r="T247" i="12"/>
  <c r="X247" i="12" s="1"/>
  <c r="S247" i="12"/>
  <c r="Q247" i="12"/>
  <c r="P247" i="12"/>
  <c r="O247" i="12"/>
  <c r="N247" i="12"/>
  <c r="L247" i="12"/>
  <c r="K247" i="12"/>
  <c r="J247" i="12"/>
  <c r="I247" i="12"/>
  <c r="H247" i="12"/>
  <c r="G247" i="12"/>
  <c r="AA246" i="12"/>
  <c r="Z246" i="12"/>
  <c r="U246" i="12"/>
  <c r="X246" i="12" s="1"/>
  <c r="T246" i="12"/>
  <c r="S246" i="12"/>
  <c r="Q246" i="12"/>
  <c r="P246" i="12"/>
  <c r="O246" i="12"/>
  <c r="N246" i="12"/>
  <c r="L246" i="12"/>
  <c r="K246" i="12"/>
  <c r="J246" i="12"/>
  <c r="I246" i="12"/>
  <c r="H246" i="12"/>
  <c r="G246" i="12"/>
  <c r="AA245" i="12"/>
  <c r="Z245" i="12"/>
  <c r="AF245" i="12" s="1"/>
  <c r="U245" i="12"/>
  <c r="S245" i="12"/>
  <c r="Q245" i="12"/>
  <c r="T245" i="12" s="1"/>
  <c r="X245" i="12" s="1"/>
  <c r="P245" i="12"/>
  <c r="O245" i="12"/>
  <c r="N245" i="12"/>
  <c r="L245" i="12"/>
  <c r="K245" i="12"/>
  <c r="I245" i="12"/>
  <c r="H245" i="12"/>
  <c r="G245" i="12"/>
  <c r="J245" i="12" s="1"/>
  <c r="AA244" i="12"/>
  <c r="AG244" i="12" s="1"/>
  <c r="Z244" i="12"/>
  <c r="U244" i="12"/>
  <c r="S244" i="12"/>
  <c r="Q244" i="12"/>
  <c r="T244" i="12" s="1"/>
  <c r="X244" i="12" s="1"/>
  <c r="P244" i="12"/>
  <c r="O244" i="12"/>
  <c r="N244" i="12"/>
  <c r="L244" i="12"/>
  <c r="K244" i="12"/>
  <c r="I244" i="12"/>
  <c r="H244" i="12"/>
  <c r="G244" i="12"/>
  <c r="J244" i="12" s="1"/>
  <c r="AA243" i="12"/>
  <c r="AG243" i="12" s="1"/>
  <c r="Z243" i="12"/>
  <c r="AF243" i="12" s="1"/>
  <c r="U243" i="12"/>
  <c r="S243" i="12"/>
  <c r="Q243" i="12"/>
  <c r="T243" i="12" s="1"/>
  <c r="X243" i="12" s="1"/>
  <c r="P243" i="12"/>
  <c r="O243" i="12"/>
  <c r="N243" i="12"/>
  <c r="L243" i="12"/>
  <c r="K243" i="12"/>
  <c r="I243" i="12"/>
  <c r="H243" i="12"/>
  <c r="J243" i="12" s="1"/>
  <c r="G243" i="12"/>
  <c r="AA242" i="12"/>
  <c r="Z242" i="12"/>
  <c r="AF242" i="12" s="1"/>
  <c r="U242" i="12"/>
  <c r="S242" i="12"/>
  <c r="Q242" i="12"/>
  <c r="T242" i="12" s="1"/>
  <c r="X242" i="12" s="1"/>
  <c r="P242" i="12"/>
  <c r="O242" i="12"/>
  <c r="N242" i="12"/>
  <c r="L242" i="12"/>
  <c r="K242" i="12"/>
  <c r="I242" i="12"/>
  <c r="H242" i="12"/>
  <c r="J242" i="12" s="1"/>
  <c r="G242" i="12"/>
  <c r="AA241" i="12"/>
  <c r="Z241" i="12"/>
  <c r="AF241" i="12" s="1"/>
  <c r="U241" i="12"/>
  <c r="S241" i="12"/>
  <c r="T241" i="12" s="1"/>
  <c r="X241" i="12" s="1"/>
  <c r="Q241" i="12"/>
  <c r="P241" i="12"/>
  <c r="O241" i="12"/>
  <c r="N241" i="12"/>
  <c r="L241" i="12"/>
  <c r="K241" i="12"/>
  <c r="I241" i="12"/>
  <c r="J241" i="12" s="1"/>
  <c r="H241" i="12"/>
  <c r="G241" i="12"/>
  <c r="AA240" i="12"/>
  <c r="Z240" i="12"/>
  <c r="U240" i="12"/>
  <c r="S240" i="12"/>
  <c r="Q240" i="12"/>
  <c r="T240" i="12" s="1"/>
  <c r="X240" i="12" s="1"/>
  <c r="P240" i="12"/>
  <c r="O240" i="12"/>
  <c r="N240" i="12"/>
  <c r="L240" i="12"/>
  <c r="K240" i="12"/>
  <c r="I240" i="12"/>
  <c r="H240" i="12"/>
  <c r="G240" i="12"/>
  <c r="J240" i="12" s="1"/>
  <c r="AA239" i="12"/>
  <c r="AG239" i="12" s="1"/>
  <c r="Z239" i="12"/>
  <c r="U239" i="12"/>
  <c r="S239" i="12"/>
  <c r="Q239" i="12"/>
  <c r="T239" i="12" s="1"/>
  <c r="X239" i="12" s="1"/>
  <c r="P239" i="12"/>
  <c r="O239" i="12"/>
  <c r="N239" i="12"/>
  <c r="L239" i="12"/>
  <c r="K239" i="12"/>
  <c r="I239" i="12"/>
  <c r="H239" i="12"/>
  <c r="G239" i="12"/>
  <c r="AA238" i="12"/>
  <c r="Z238" i="12"/>
  <c r="AF238" i="12" s="1"/>
  <c r="U238" i="12"/>
  <c r="S238" i="12"/>
  <c r="T238" i="12" s="1"/>
  <c r="X238" i="12" s="1"/>
  <c r="Q238" i="12"/>
  <c r="P238" i="12"/>
  <c r="O238" i="12"/>
  <c r="N238" i="12"/>
  <c r="L238" i="12"/>
  <c r="K238" i="12"/>
  <c r="I238" i="12"/>
  <c r="J238" i="12" s="1"/>
  <c r="H238" i="12"/>
  <c r="G238" i="12"/>
  <c r="AA237" i="12"/>
  <c r="Z237" i="12"/>
  <c r="U237" i="12"/>
  <c r="T237" i="12"/>
  <c r="X237" i="12" s="1"/>
  <c r="S237" i="12"/>
  <c r="Q237" i="12"/>
  <c r="P237" i="12"/>
  <c r="O237" i="12"/>
  <c r="N237" i="12"/>
  <c r="L237" i="12"/>
  <c r="K237" i="12"/>
  <c r="J237" i="12"/>
  <c r="I237" i="12"/>
  <c r="H237" i="12"/>
  <c r="G237" i="12"/>
  <c r="AA236" i="12"/>
  <c r="AG236" i="12" s="1"/>
  <c r="Z236" i="12"/>
  <c r="AE236" i="12" s="1"/>
  <c r="X236" i="12"/>
  <c r="U236" i="12"/>
  <c r="S236" i="12"/>
  <c r="Q236" i="12"/>
  <c r="T236" i="12" s="1"/>
  <c r="P236" i="12"/>
  <c r="O236" i="12"/>
  <c r="N236" i="12"/>
  <c r="L236" i="12"/>
  <c r="K236" i="12"/>
  <c r="I236" i="12"/>
  <c r="H236" i="12"/>
  <c r="G236" i="12"/>
  <c r="J236" i="12" s="1"/>
  <c r="AA235" i="12"/>
  <c r="AG235" i="12" s="1"/>
  <c r="Z235" i="12"/>
  <c r="U235" i="12"/>
  <c r="S235" i="12"/>
  <c r="Q235" i="12"/>
  <c r="T235" i="12" s="1"/>
  <c r="X235" i="12" s="1"/>
  <c r="P235" i="12"/>
  <c r="O235" i="12"/>
  <c r="N235" i="12"/>
  <c r="L235" i="12"/>
  <c r="K235" i="12"/>
  <c r="I235" i="12"/>
  <c r="H235" i="12"/>
  <c r="G235" i="12"/>
  <c r="J235" i="12" s="1"/>
  <c r="AA234" i="12"/>
  <c r="Z234" i="12"/>
  <c r="AF234" i="12" s="1"/>
  <c r="U234" i="12"/>
  <c r="S234" i="12"/>
  <c r="Q234" i="12"/>
  <c r="T234" i="12" s="1"/>
  <c r="X234" i="12" s="1"/>
  <c r="P234" i="12"/>
  <c r="O234" i="12"/>
  <c r="N234" i="12"/>
  <c r="L234" i="12"/>
  <c r="K234" i="12"/>
  <c r="I234" i="12"/>
  <c r="H234" i="12"/>
  <c r="G234" i="12"/>
  <c r="J234" i="12" s="1"/>
  <c r="AA233" i="12"/>
  <c r="Z233" i="12"/>
  <c r="AF233" i="12" s="1"/>
  <c r="U233" i="12"/>
  <c r="S233" i="12"/>
  <c r="Q233" i="12"/>
  <c r="T233" i="12" s="1"/>
  <c r="X233" i="12" s="1"/>
  <c r="P233" i="12"/>
  <c r="O233" i="12"/>
  <c r="N233" i="12"/>
  <c r="L233" i="12"/>
  <c r="K233" i="12"/>
  <c r="I233" i="12"/>
  <c r="H233" i="12"/>
  <c r="G233" i="12"/>
  <c r="J233" i="12" s="1"/>
  <c r="AA232" i="12"/>
  <c r="AG232" i="12" s="1"/>
  <c r="Z232" i="12"/>
  <c r="U232" i="12"/>
  <c r="S232" i="12"/>
  <c r="Q232" i="12"/>
  <c r="T232" i="12" s="1"/>
  <c r="X232" i="12" s="1"/>
  <c r="P232" i="12"/>
  <c r="O232" i="12"/>
  <c r="N232" i="12"/>
  <c r="L232" i="12"/>
  <c r="K232" i="12"/>
  <c r="I232" i="12"/>
  <c r="H232" i="12"/>
  <c r="G232" i="12"/>
  <c r="J232" i="12" s="1"/>
  <c r="AA231" i="12"/>
  <c r="Z231" i="12"/>
  <c r="AF231" i="12" s="1"/>
  <c r="U231" i="12"/>
  <c r="S231" i="12"/>
  <c r="Q231" i="12"/>
  <c r="T231" i="12" s="1"/>
  <c r="X231" i="12" s="1"/>
  <c r="P231" i="12"/>
  <c r="O231" i="12"/>
  <c r="N231" i="12"/>
  <c r="L231" i="12"/>
  <c r="K231" i="12"/>
  <c r="I231" i="12"/>
  <c r="H231" i="12"/>
  <c r="G231" i="12"/>
  <c r="AA230" i="12"/>
  <c r="Z230" i="12"/>
  <c r="U230" i="12"/>
  <c r="S230" i="12"/>
  <c r="Q230" i="12"/>
  <c r="T230" i="12" s="1"/>
  <c r="P230" i="12"/>
  <c r="O230" i="12"/>
  <c r="N230" i="12"/>
  <c r="L230" i="12"/>
  <c r="K230" i="12"/>
  <c r="I230" i="12"/>
  <c r="H230" i="12"/>
  <c r="J230" i="12" s="1"/>
  <c r="G230" i="12"/>
  <c r="AA229" i="12"/>
  <c r="Z229" i="12"/>
  <c r="U229" i="12"/>
  <c r="S229" i="12"/>
  <c r="T229" i="12" s="1"/>
  <c r="X229" i="12" s="1"/>
  <c r="Q229" i="12"/>
  <c r="P229" i="12"/>
  <c r="O229" i="12"/>
  <c r="N229" i="12"/>
  <c r="L229" i="12"/>
  <c r="K229" i="12"/>
  <c r="I229" i="12"/>
  <c r="H229" i="12"/>
  <c r="G229" i="12"/>
  <c r="J229" i="12" s="1"/>
  <c r="AA228" i="12"/>
  <c r="AG228" i="12" s="1"/>
  <c r="Z228" i="12"/>
  <c r="AC228" i="12" s="1"/>
  <c r="X228" i="12"/>
  <c r="U228" i="12"/>
  <c r="S228" i="12"/>
  <c r="Q228" i="12"/>
  <c r="T228" i="12" s="1"/>
  <c r="P228" i="12"/>
  <c r="O228" i="12"/>
  <c r="N228" i="12"/>
  <c r="L228" i="12"/>
  <c r="K228" i="12"/>
  <c r="I228" i="12"/>
  <c r="H228" i="12"/>
  <c r="G228" i="12"/>
  <c r="J228" i="12" s="1"/>
  <c r="AA227" i="12"/>
  <c r="Z227" i="12"/>
  <c r="AF227" i="12" s="1"/>
  <c r="U227" i="12"/>
  <c r="S227" i="12"/>
  <c r="Q227" i="12"/>
  <c r="T227" i="12" s="1"/>
  <c r="X227" i="12" s="1"/>
  <c r="P227" i="12"/>
  <c r="O227" i="12"/>
  <c r="N227" i="12"/>
  <c r="L227" i="12"/>
  <c r="K227" i="12"/>
  <c r="I227" i="12"/>
  <c r="H227" i="12"/>
  <c r="G227" i="12"/>
  <c r="J227" i="12" s="1"/>
  <c r="AA226" i="12"/>
  <c r="AG226" i="12" s="1"/>
  <c r="Z226" i="12"/>
  <c r="U226" i="12"/>
  <c r="T226" i="12"/>
  <c r="X226" i="12" s="1"/>
  <c r="S226" i="12"/>
  <c r="Q226" i="12"/>
  <c r="P226" i="12"/>
  <c r="O226" i="12"/>
  <c r="N226" i="12"/>
  <c r="L226" i="12"/>
  <c r="K226" i="12"/>
  <c r="J226" i="12"/>
  <c r="I226" i="12"/>
  <c r="H226" i="12"/>
  <c r="G226" i="12"/>
  <c r="AA225" i="12"/>
  <c r="AG225" i="12" s="1"/>
  <c r="Z225" i="12"/>
  <c r="U225" i="12"/>
  <c r="S225" i="12"/>
  <c r="Q225" i="12"/>
  <c r="T225" i="12" s="1"/>
  <c r="X225" i="12" s="1"/>
  <c r="P225" i="12"/>
  <c r="O225" i="12"/>
  <c r="N225" i="12"/>
  <c r="L225" i="12"/>
  <c r="K225" i="12"/>
  <c r="I225" i="12"/>
  <c r="H225" i="12"/>
  <c r="G225" i="12"/>
  <c r="J225" i="12" s="1"/>
  <c r="AA224" i="12"/>
  <c r="AG224" i="12" s="1"/>
  <c r="Z224" i="12"/>
  <c r="U224" i="12"/>
  <c r="S224" i="12"/>
  <c r="Q224" i="12"/>
  <c r="T224" i="12" s="1"/>
  <c r="X224" i="12" s="1"/>
  <c r="P224" i="12"/>
  <c r="O224" i="12"/>
  <c r="N224" i="12"/>
  <c r="L224" i="12"/>
  <c r="K224" i="12"/>
  <c r="I224" i="12"/>
  <c r="H224" i="12"/>
  <c r="G224" i="12"/>
  <c r="AA223" i="12"/>
  <c r="AG223" i="12" s="1"/>
  <c r="Z223" i="12"/>
  <c r="U223" i="12"/>
  <c r="S223" i="12"/>
  <c r="Q223" i="12"/>
  <c r="T223" i="12" s="1"/>
  <c r="X223" i="12" s="1"/>
  <c r="P223" i="12"/>
  <c r="O223" i="12"/>
  <c r="N223" i="12"/>
  <c r="L223" i="12"/>
  <c r="K223" i="12"/>
  <c r="I223" i="12"/>
  <c r="H223" i="12"/>
  <c r="G223" i="12"/>
  <c r="AA222" i="12"/>
  <c r="AG222" i="12" s="1"/>
  <c r="Z222" i="12"/>
  <c r="U222" i="12"/>
  <c r="S222" i="12"/>
  <c r="Q222" i="12"/>
  <c r="P222" i="12"/>
  <c r="O222" i="12"/>
  <c r="N222" i="12"/>
  <c r="L222" i="12"/>
  <c r="K222" i="12"/>
  <c r="I222" i="12"/>
  <c r="H222" i="12"/>
  <c r="G222" i="12"/>
  <c r="AA221" i="12"/>
  <c r="Z221" i="12"/>
  <c r="U221" i="12"/>
  <c r="T221" i="12"/>
  <c r="X221" i="12" s="1"/>
  <c r="S221" i="12"/>
  <c r="Q221" i="12"/>
  <c r="P221" i="12"/>
  <c r="O221" i="12"/>
  <c r="N221" i="12"/>
  <c r="L221" i="12"/>
  <c r="K221" i="12"/>
  <c r="J221" i="12"/>
  <c r="I221" i="12"/>
  <c r="H221" i="12"/>
  <c r="G221" i="12"/>
  <c r="AA220" i="12"/>
  <c r="AG220" i="12" s="1"/>
  <c r="Z220" i="12"/>
  <c r="U220" i="12"/>
  <c r="S220" i="12"/>
  <c r="Q220" i="12"/>
  <c r="T220" i="12" s="1"/>
  <c r="X220" i="12" s="1"/>
  <c r="P220" i="12"/>
  <c r="O220" i="12"/>
  <c r="N220" i="12"/>
  <c r="L220" i="12"/>
  <c r="K220" i="12"/>
  <c r="I220" i="12"/>
  <c r="H220" i="12"/>
  <c r="G220" i="12"/>
  <c r="J220" i="12" s="1"/>
  <c r="AA219" i="12"/>
  <c r="AG219" i="12" s="1"/>
  <c r="Z219" i="12"/>
  <c r="AF219" i="12" s="1"/>
  <c r="U219" i="12"/>
  <c r="S219" i="12"/>
  <c r="T219" i="12" s="1"/>
  <c r="X219" i="12" s="1"/>
  <c r="Q219" i="12"/>
  <c r="P219" i="12"/>
  <c r="O219" i="12"/>
  <c r="N219" i="12"/>
  <c r="L219" i="12"/>
  <c r="K219" i="12"/>
  <c r="I219" i="12"/>
  <c r="J219" i="12" s="1"/>
  <c r="H219" i="12"/>
  <c r="G219" i="12"/>
  <c r="AA218" i="12"/>
  <c r="Z218" i="12"/>
  <c r="U218" i="12"/>
  <c r="S218" i="12"/>
  <c r="T218" i="12" s="1"/>
  <c r="X218" i="12" s="1"/>
  <c r="Q218" i="12"/>
  <c r="P218" i="12"/>
  <c r="O218" i="12"/>
  <c r="N218" i="12"/>
  <c r="L218" i="12"/>
  <c r="K218" i="12"/>
  <c r="I218" i="12"/>
  <c r="J218" i="12" s="1"/>
  <c r="H218" i="12"/>
  <c r="G218" i="12"/>
  <c r="AA217" i="12"/>
  <c r="AG217" i="12" s="1"/>
  <c r="Z217" i="12"/>
  <c r="U217" i="12"/>
  <c r="S217" i="12"/>
  <c r="Q217" i="12"/>
  <c r="T217" i="12" s="1"/>
  <c r="X217" i="12" s="1"/>
  <c r="P217" i="12"/>
  <c r="O217" i="12"/>
  <c r="N217" i="12"/>
  <c r="L217" i="12"/>
  <c r="K217" i="12"/>
  <c r="I217" i="12"/>
  <c r="H217" i="12"/>
  <c r="G217" i="12"/>
  <c r="J217" i="12" s="1"/>
  <c r="AA216" i="12"/>
  <c r="AG216" i="12" s="1"/>
  <c r="Z216" i="12"/>
  <c r="AE216" i="12" s="1"/>
  <c r="U216" i="12"/>
  <c r="S216" i="12"/>
  <c r="Q216" i="12"/>
  <c r="T216" i="12" s="1"/>
  <c r="X216" i="12" s="1"/>
  <c r="P216" i="12"/>
  <c r="O216" i="12"/>
  <c r="N216" i="12"/>
  <c r="L216" i="12"/>
  <c r="K216" i="12"/>
  <c r="I216" i="12"/>
  <c r="H216" i="12"/>
  <c r="J216" i="12" s="1"/>
  <c r="G216" i="12"/>
  <c r="AA215" i="12"/>
  <c r="Z215" i="12"/>
  <c r="U215" i="12"/>
  <c r="S215" i="12"/>
  <c r="Q215" i="12"/>
  <c r="T215" i="12" s="1"/>
  <c r="X215" i="12" s="1"/>
  <c r="P215" i="12"/>
  <c r="O215" i="12"/>
  <c r="N215" i="12"/>
  <c r="L215" i="12"/>
  <c r="K215" i="12"/>
  <c r="I215" i="12"/>
  <c r="H215" i="12"/>
  <c r="J215" i="12" s="1"/>
  <c r="G215" i="12"/>
  <c r="AA214" i="12"/>
  <c r="AG214" i="12" s="1"/>
  <c r="Z214" i="12"/>
  <c r="X214" i="12"/>
  <c r="U214" i="12"/>
  <c r="T214" i="12"/>
  <c r="S214" i="12"/>
  <c r="Q214" i="12"/>
  <c r="P214" i="12"/>
  <c r="O214" i="12"/>
  <c r="N214" i="12"/>
  <c r="L214" i="12"/>
  <c r="K214" i="12"/>
  <c r="J214" i="12"/>
  <c r="I214" i="12"/>
  <c r="H214" i="12"/>
  <c r="G214" i="12"/>
  <c r="AA213" i="12"/>
  <c r="Z213" i="12"/>
  <c r="U213" i="12"/>
  <c r="S213" i="12"/>
  <c r="Q213" i="12"/>
  <c r="T213" i="12" s="1"/>
  <c r="X213" i="12" s="1"/>
  <c r="P213" i="12"/>
  <c r="O213" i="12"/>
  <c r="N213" i="12"/>
  <c r="L213" i="12"/>
  <c r="K213" i="12"/>
  <c r="I213" i="12"/>
  <c r="H213" i="12"/>
  <c r="G213" i="12"/>
  <c r="J213" i="12" s="1"/>
  <c r="AA212" i="12"/>
  <c r="AG212" i="12" s="1"/>
  <c r="Z212" i="12"/>
  <c r="U212" i="12"/>
  <c r="S212" i="12"/>
  <c r="Q212" i="12"/>
  <c r="T212" i="12" s="1"/>
  <c r="X212" i="12" s="1"/>
  <c r="P212" i="12"/>
  <c r="O212" i="12"/>
  <c r="N212" i="12"/>
  <c r="L212" i="12"/>
  <c r="K212" i="12"/>
  <c r="I212" i="12"/>
  <c r="H212" i="12"/>
  <c r="G212" i="12"/>
  <c r="AA211" i="12"/>
  <c r="AG211" i="12" s="1"/>
  <c r="Z211" i="12"/>
  <c r="U211" i="12"/>
  <c r="S211" i="12"/>
  <c r="Q211" i="12"/>
  <c r="T211" i="12" s="1"/>
  <c r="X211" i="12" s="1"/>
  <c r="P211" i="12"/>
  <c r="O211" i="12"/>
  <c r="N211" i="12"/>
  <c r="L211" i="12"/>
  <c r="K211" i="12"/>
  <c r="I211" i="12"/>
  <c r="H211" i="12"/>
  <c r="G211" i="12"/>
  <c r="AA210" i="12"/>
  <c r="Z210" i="12"/>
  <c r="AF210" i="12" s="1"/>
  <c r="U210" i="12"/>
  <c r="S210" i="12"/>
  <c r="Q210" i="12"/>
  <c r="T210" i="12" s="1"/>
  <c r="X210" i="12" s="1"/>
  <c r="P210" i="12"/>
  <c r="O210" i="12"/>
  <c r="N210" i="12"/>
  <c r="L210" i="12"/>
  <c r="K210" i="12"/>
  <c r="I210" i="12"/>
  <c r="H210" i="12"/>
  <c r="G210" i="12"/>
  <c r="J210" i="12" s="1"/>
  <c r="AA209" i="12"/>
  <c r="AG209" i="12" s="1"/>
  <c r="Z209" i="12"/>
  <c r="U209" i="12"/>
  <c r="T209" i="12"/>
  <c r="X209" i="12" s="1"/>
  <c r="S209" i="12"/>
  <c r="Q209" i="12"/>
  <c r="P209" i="12"/>
  <c r="O209" i="12"/>
  <c r="N209" i="12"/>
  <c r="L209" i="12"/>
  <c r="K209" i="12"/>
  <c r="J209" i="12"/>
  <c r="I209" i="12"/>
  <c r="H209" i="12"/>
  <c r="G209" i="12"/>
  <c r="AA208" i="12"/>
  <c r="Z208" i="12"/>
  <c r="U208" i="12"/>
  <c r="T208" i="12"/>
  <c r="S208" i="12"/>
  <c r="Q208" i="12"/>
  <c r="P208" i="12"/>
  <c r="O208" i="12"/>
  <c r="N208" i="12"/>
  <c r="L208" i="12"/>
  <c r="K208" i="12"/>
  <c r="J208" i="12"/>
  <c r="I208" i="12"/>
  <c r="H208" i="12"/>
  <c r="G208" i="12"/>
  <c r="AA207" i="12"/>
  <c r="Z207" i="12"/>
  <c r="U207" i="12"/>
  <c r="X207" i="12" s="1"/>
  <c r="S207" i="12"/>
  <c r="Q207" i="12"/>
  <c r="T207" i="12" s="1"/>
  <c r="P207" i="12"/>
  <c r="O207" i="12"/>
  <c r="N207" i="12"/>
  <c r="L207" i="12"/>
  <c r="K207" i="12"/>
  <c r="I207" i="12"/>
  <c r="H207" i="12"/>
  <c r="G207" i="12"/>
  <c r="J207" i="12" s="1"/>
  <c r="AA206" i="12"/>
  <c r="Z206" i="12"/>
  <c r="U206" i="12"/>
  <c r="S206" i="12"/>
  <c r="Q206" i="12"/>
  <c r="T206" i="12" s="1"/>
  <c r="X206" i="12" s="1"/>
  <c r="P206" i="12"/>
  <c r="O206" i="12"/>
  <c r="N206" i="12"/>
  <c r="L206" i="12"/>
  <c r="K206" i="12"/>
  <c r="I206" i="12"/>
  <c r="H206" i="12"/>
  <c r="G206" i="12"/>
  <c r="AA205" i="12"/>
  <c r="Z205" i="12"/>
  <c r="U205" i="12"/>
  <c r="T205" i="12"/>
  <c r="S205" i="12"/>
  <c r="Q205" i="12"/>
  <c r="P205" i="12"/>
  <c r="O205" i="12"/>
  <c r="N205" i="12"/>
  <c r="L205" i="12"/>
  <c r="K205" i="12"/>
  <c r="J205" i="12"/>
  <c r="I205" i="12"/>
  <c r="H205" i="12"/>
  <c r="G205" i="12"/>
  <c r="AA204" i="12"/>
  <c r="Z204" i="12"/>
  <c r="U204" i="12"/>
  <c r="X204" i="12" s="1"/>
  <c r="T204" i="12"/>
  <c r="S204" i="12"/>
  <c r="Q204" i="12"/>
  <c r="P204" i="12"/>
  <c r="O204" i="12"/>
  <c r="L204" i="12"/>
  <c r="K204" i="12"/>
  <c r="J204" i="12"/>
  <c r="I204" i="12"/>
  <c r="H204" i="12"/>
  <c r="G204" i="12"/>
  <c r="AA203" i="12"/>
  <c r="Z203" i="12"/>
  <c r="U203" i="12"/>
  <c r="S203" i="12"/>
  <c r="Q203" i="12"/>
  <c r="T203" i="12" s="1"/>
  <c r="X203" i="12" s="1"/>
  <c r="P203" i="12"/>
  <c r="O203" i="12"/>
  <c r="N203" i="12"/>
  <c r="L203" i="12"/>
  <c r="K203" i="12"/>
  <c r="I203" i="12"/>
  <c r="H203" i="12"/>
  <c r="G203" i="12"/>
  <c r="J203" i="12" s="1"/>
  <c r="AA202" i="12"/>
  <c r="AG202" i="12" s="1"/>
  <c r="Z202" i="12"/>
  <c r="U202" i="12"/>
  <c r="S202" i="12"/>
  <c r="T202" i="12" s="1"/>
  <c r="X202" i="12" s="1"/>
  <c r="Q202" i="12"/>
  <c r="P202" i="12"/>
  <c r="O202" i="12"/>
  <c r="N202" i="12"/>
  <c r="L202" i="12"/>
  <c r="K202" i="12"/>
  <c r="I202" i="12"/>
  <c r="H202" i="12"/>
  <c r="G202" i="12"/>
  <c r="J202" i="12" s="1"/>
  <c r="AA201" i="12"/>
  <c r="AG201" i="12" s="1"/>
  <c r="Z201" i="12"/>
  <c r="AE201" i="12" s="1"/>
  <c r="U201" i="12"/>
  <c r="S201" i="12"/>
  <c r="Q201" i="12"/>
  <c r="T201" i="12" s="1"/>
  <c r="X201" i="12" s="1"/>
  <c r="P201" i="12"/>
  <c r="O201" i="12"/>
  <c r="N201" i="12"/>
  <c r="L201" i="12"/>
  <c r="K201" i="12"/>
  <c r="I201" i="12"/>
  <c r="H201" i="12"/>
  <c r="J201" i="12" s="1"/>
  <c r="G201" i="12"/>
  <c r="AA200" i="12"/>
  <c r="Z200" i="12"/>
  <c r="U200" i="12"/>
  <c r="S200" i="12"/>
  <c r="T200" i="12" s="1"/>
  <c r="X200" i="12" s="1"/>
  <c r="Q200" i="12"/>
  <c r="P200" i="12"/>
  <c r="O200" i="12"/>
  <c r="N200" i="12"/>
  <c r="L200" i="12"/>
  <c r="K200" i="12"/>
  <c r="I200" i="12"/>
  <c r="J200" i="12" s="1"/>
  <c r="H200" i="12"/>
  <c r="G200" i="12"/>
  <c r="AA199" i="12"/>
  <c r="AG199" i="12" s="1"/>
  <c r="Z199" i="12"/>
  <c r="AD199" i="12" s="1"/>
  <c r="X199" i="12"/>
  <c r="U199" i="12"/>
  <c r="S199" i="12"/>
  <c r="Q199" i="12"/>
  <c r="T199" i="12" s="1"/>
  <c r="P199" i="12"/>
  <c r="O199" i="12"/>
  <c r="N199" i="12"/>
  <c r="L199" i="12"/>
  <c r="K199" i="12"/>
  <c r="I199" i="12"/>
  <c r="H199" i="12"/>
  <c r="G199" i="12"/>
  <c r="J199" i="12" s="1"/>
  <c r="AA198" i="12"/>
  <c r="AG198" i="12" s="1"/>
  <c r="Z198" i="12"/>
  <c r="AF198" i="12" s="1"/>
  <c r="U198" i="12"/>
  <c r="S198" i="12"/>
  <c r="Q198" i="12"/>
  <c r="T198" i="12" s="1"/>
  <c r="X198" i="12" s="1"/>
  <c r="P198" i="12"/>
  <c r="O198" i="12"/>
  <c r="N198" i="12"/>
  <c r="L198" i="12"/>
  <c r="K198" i="12"/>
  <c r="I198" i="12"/>
  <c r="H198" i="12"/>
  <c r="G198" i="12"/>
  <c r="AF197" i="12"/>
  <c r="AA197" i="12"/>
  <c r="Z197" i="12"/>
  <c r="U197" i="12"/>
  <c r="S197" i="12"/>
  <c r="Q197" i="12"/>
  <c r="P197" i="12"/>
  <c r="O197" i="12"/>
  <c r="N197" i="12"/>
  <c r="L197" i="12"/>
  <c r="K197" i="12"/>
  <c r="I197" i="12"/>
  <c r="H197" i="12"/>
  <c r="G197" i="12"/>
  <c r="AA196" i="12"/>
  <c r="Z196" i="12"/>
  <c r="U196" i="12"/>
  <c r="S196" i="12"/>
  <c r="Q196" i="12"/>
  <c r="P196" i="12"/>
  <c r="O196" i="12"/>
  <c r="N196" i="12"/>
  <c r="L196" i="12"/>
  <c r="K196" i="12"/>
  <c r="I196" i="12"/>
  <c r="H196" i="12"/>
  <c r="G196" i="12"/>
  <c r="AA195" i="12"/>
  <c r="AG195" i="12" s="1"/>
  <c r="Z195" i="12"/>
  <c r="U195" i="12"/>
  <c r="T195" i="12"/>
  <c r="S195" i="12"/>
  <c r="Q195" i="12"/>
  <c r="P195" i="12"/>
  <c r="O195" i="12"/>
  <c r="N195" i="12"/>
  <c r="L195" i="12"/>
  <c r="K195" i="12"/>
  <c r="J195" i="12"/>
  <c r="I195" i="12"/>
  <c r="H195" i="12"/>
  <c r="G195" i="12"/>
  <c r="AA194" i="12"/>
  <c r="Z194" i="12"/>
  <c r="U194" i="12"/>
  <c r="T194" i="12"/>
  <c r="S194" i="12"/>
  <c r="Q194" i="12"/>
  <c r="P194" i="12"/>
  <c r="O194" i="12"/>
  <c r="N194" i="12"/>
  <c r="L194" i="12"/>
  <c r="K194" i="12"/>
  <c r="J194" i="12"/>
  <c r="I194" i="12"/>
  <c r="H194" i="12"/>
  <c r="G194" i="12"/>
  <c r="AA193" i="12"/>
  <c r="AG193" i="12" s="1"/>
  <c r="Z193" i="12"/>
  <c r="U193" i="12"/>
  <c r="X193" i="12" s="1"/>
  <c r="S193" i="12"/>
  <c r="Q193" i="12"/>
  <c r="T193" i="12" s="1"/>
  <c r="P193" i="12"/>
  <c r="O193" i="12"/>
  <c r="N193" i="12"/>
  <c r="L193" i="12"/>
  <c r="K193" i="12"/>
  <c r="I193" i="12"/>
  <c r="H193" i="12"/>
  <c r="G193" i="12"/>
  <c r="J193" i="12" s="1"/>
  <c r="AF192" i="12"/>
  <c r="AA192" i="12"/>
  <c r="AD192" i="12" s="1"/>
  <c r="Z192" i="12"/>
  <c r="U192" i="12"/>
  <c r="S192" i="12"/>
  <c r="Q192" i="12"/>
  <c r="P192" i="12"/>
  <c r="O192" i="12"/>
  <c r="N192" i="12"/>
  <c r="L192" i="12"/>
  <c r="K192" i="12"/>
  <c r="I192" i="12"/>
  <c r="H192" i="12"/>
  <c r="G192" i="12"/>
  <c r="AA191" i="12"/>
  <c r="Z191" i="12"/>
  <c r="U191" i="12"/>
  <c r="S191" i="12"/>
  <c r="Q191" i="12"/>
  <c r="P191" i="12"/>
  <c r="O191" i="12"/>
  <c r="N191" i="12"/>
  <c r="L191" i="12"/>
  <c r="K191" i="12"/>
  <c r="I191" i="12"/>
  <c r="H191" i="12"/>
  <c r="G191" i="12"/>
  <c r="AA190" i="12"/>
  <c r="Z190" i="12"/>
  <c r="X190" i="12"/>
  <c r="U190" i="12"/>
  <c r="AG190" i="12" s="1"/>
  <c r="T190" i="12"/>
  <c r="S190" i="12"/>
  <c r="Q190" i="12"/>
  <c r="P190" i="12"/>
  <c r="O190" i="12"/>
  <c r="N190" i="12"/>
  <c r="L190" i="12"/>
  <c r="K190" i="12"/>
  <c r="J190" i="12"/>
  <c r="I190" i="12"/>
  <c r="H190" i="12"/>
  <c r="G190" i="12"/>
  <c r="AA189" i="12"/>
  <c r="Z189" i="12"/>
  <c r="U189" i="12"/>
  <c r="S189" i="12"/>
  <c r="Q189" i="12"/>
  <c r="T189" i="12" s="1"/>
  <c r="X189" i="12" s="1"/>
  <c r="P189" i="12"/>
  <c r="O189" i="12"/>
  <c r="N189" i="12"/>
  <c r="L189" i="12"/>
  <c r="K189" i="12"/>
  <c r="I189" i="12"/>
  <c r="H189" i="12"/>
  <c r="G189" i="12"/>
  <c r="J189" i="12" s="1"/>
  <c r="AA188" i="12"/>
  <c r="AG188" i="12" s="1"/>
  <c r="Z188" i="12"/>
  <c r="U188" i="12"/>
  <c r="S188" i="12"/>
  <c r="T188" i="12" s="1"/>
  <c r="X188" i="12" s="1"/>
  <c r="Q188" i="12"/>
  <c r="P188" i="12"/>
  <c r="O188" i="12"/>
  <c r="N188" i="12"/>
  <c r="L188" i="12"/>
  <c r="K188" i="12"/>
  <c r="I188" i="12"/>
  <c r="H188" i="12"/>
  <c r="G188" i="12"/>
  <c r="J188" i="12" s="1"/>
  <c r="AA187" i="12"/>
  <c r="AG187" i="12" s="1"/>
  <c r="Z187" i="12"/>
  <c r="AF187" i="12" s="1"/>
  <c r="U187" i="12"/>
  <c r="S187" i="12"/>
  <c r="Q187" i="12"/>
  <c r="T187" i="12" s="1"/>
  <c r="X187" i="12" s="1"/>
  <c r="P187" i="12"/>
  <c r="O187" i="12"/>
  <c r="N187" i="12"/>
  <c r="L187" i="12"/>
  <c r="K187" i="12"/>
  <c r="I187" i="12"/>
  <c r="H187" i="12"/>
  <c r="G187" i="12"/>
  <c r="J187" i="12" s="1"/>
  <c r="AA186" i="12"/>
  <c r="Z186" i="12"/>
  <c r="AF186" i="12" s="1"/>
  <c r="X186" i="12"/>
  <c r="U186" i="12"/>
  <c r="T186" i="12"/>
  <c r="S186" i="12"/>
  <c r="Q186" i="12"/>
  <c r="P186" i="12"/>
  <c r="O186" i="12"/>
  <c r="N186" i="12"/>
  <c r="L186" i="12"/>
  <c r="K186" i="12"/>
  <c r="J186" i="12"/>
  <c r="I186" i="12"/>
  <c r="H186" i="12"/>
  <c r="G186" i="12"/>
  <c r="AA185" i="12"/>
  <c r="AG185" i="12" s="1"/>
  <c r="Z185" i="12"/>
  <c r="X185" i="12"/>
  <c r="U185" i="12"/>
  <c r="S185" i="12"/>
  <c r="Q185" i="12"/>
  <c r="T185" i="12" s="1"/>
  <c r="P185" i="12"/>
  <c r="O185" i="12"/>
  <c r="N185" i="12"/>
  <c r="L185" i="12"/>
  <c r="K185" i="12"/>
  <c r="I185" i="12"/>
  <c r="H185" i="12"/>
  <c r="G185" i="12"/>
  <c r="J185" i="12" s="1"/>
  <c r="AA184" i="12"/>
  <c r="Z184" i="12"/>
  <c r="AF184" i="12" s="1"/>
  <c r="U184" i="12"/>
  <c r="S184" i="12"/>
  <c r="Q184" i="12"/>
  <c r="T184" i="12" s="1"/>
  <c r="X184" i="12" s="1"/>
  <c r="P184" i="12"/>
  <c r="O184" i="12"/>
  <c r="N184" i="12"/>
  <c r="L184" i="12"/>
  <c r="K184" i="12"/>
  <c r="I184" i="12"/>
  <c r="H184" i="12"/>
  <c r="J184" i="12" s="1"/>
  <c r="G184" i="12"/>
  <c r="AA183" i="12"/>
  <c r="Z183" i="12"/>
  <c r="X183" i="12"/>
  <c r="U183" i="12"/>
  <c r="S183" i="12"/>
  <c r="Q183" i="12"/>
  <c r="T183" i="12" s="1"/>
  <c r="P183" i="12"/>
  <c r="O183" i="12"/>
  <c r="N183" i="12"/>
  <c r="L183" i="12"/>
  <c r="K183" i="12"/>
  <c r="I183" i="12"/>
  <c r="H183" i="12"/>
  <c r="G183" i="12"/>
  <c r="J183" i="12" s="1"/>
  <c r="AA182" i="12"/>
  <c r="AG182" i="12" s="1"/>
  <c r="Z182" i="12"/>
  <c r="U182" i="12"/>
  <c r="S182" i="12"/>
  <c r="Q182" i="12"/>
  <c r="T182" i="12" s="1"/>
  <c r="X182" i="12" s="1"/>
  <c r="P182" i="12"/>
  <c r="O182" i="12"/>
  <c r="N182" i="12"/>
  <c r="L182" i="12"/>
  <c r="K182" i="12"/>
  <c r="I182" i="12"/>
  <c r="H182" i="12"/>
  <c r="G182" i="12"/>
  <c r="J182" i="12" s="1"/>
  <c r="AA181" i="12"/>
  <c r="Z181" i="12"/>
  <c r="U181" i="12"/>
  <c r="T181" i="12"/>
  <c r="X181" i="12" s="1"/>
  <c r="S181" i="12"/>
  <c r="Q181" i="12"/>
  <c r="P181" i="12"/>
  <c r="O181" i="12"/>
  <c r="N181" i="12"/>
  <c r="L181" i="12"/>
  <c r="K181" i="12"/>
  <c r="J181" i="12"/>
  <c r="I181" i="12"/>
  <c r="H181" i="12"/>
  <c r="G181" i="12"/>
  <c r="AA180" i="12"/>
  <c r="Z180" i="12"/>
  <c r="AF180" i="12" s="1"/>
  <c r="U180" i="12"/>
  <c r="T180" i="12"/>
  <c r="X180" i="12" s="1"/>
  <c r="S180" i="12"/>
  <c r="Q180" i="12"/>
  <c r="P180" i="12"/>
  <c r="O180" i="12"/>
  <c r="N180" i="12"/>
  <c r="L180" i="12"/>
  <c r="K180" i="12"/>
  <c r="J180" i="12"/>
  <c r="I180" i="12"/>
  <c r="H180" i="12"/>
  <c r="G180" i="12"/>
  <c r="AA179" i="12"/>
  <c r="AG179" i="12" s="1"/>
  <c r="Z179" i="12"/>
  <c r="U179" i="12"/>
  <c r="S179" i="12"/>
  <c r="Q179" i="12"/>
  <c r="T179" i="12" s="1"/>
  <c r="X179" i="12" s="1"/>
  <c r="P179" i="12"/>
  <c r="O179" i="12"/>
  <c r="N179" i="12"/>
  <c r="L179" i="12"/>
  <c r="K179" i="12"/>
  <c r="I179" i="12"/>
  <c r="H179" i="12"/>
  <c r="G179" i="12"/>
  <c r="J179" i="12" s="1"/>
  <c r="AA178" i="12"/>
  <c r="AG178" i="12" s="1"/>
  <c r="Z178" i="12"/>
  <c r="AC178" i="12" s="1"/>
  <c r="U178" i="12"/>
  <c r="S178" i="12"/>
  <c r="Q178" i="12"/>
  <c r="T178" i="12" s="1"/>
  <c r="X178" i="12" s="1"/>
  <c r="P178" i="12"/>
  <c r="O178" i="12"/>
  <c r="N178" i="12"/>
  <c r="L178" i="12"/>
  <c r="K178" i="12"/>
  <c r="I178" i="12"/>
  <c r="H178" i="12"/>
  <c r="G178" i="12"/>
  <c r="AA177" i="12"/>
  <c r="AG177" i="12" s="1"/>
  <c r="Z177" i="12"/>
  <c r="U177" i="12"/>
  <c r="S177" i="12"/>
  <c r="Q177" i="12"/>
  <c r="T177" i="12" s="1"/>
  <c r="X177" i="12" s="1"/>
  <c r="P177" i="12"/>
  <c r="O177" i="12"/>
  <c r="N177" i="12"/>
  <c r="L177" i="12"/>
  <c r="K177" i="12"/>
  <c r="I177" i="12"/>
  <c r="H177" i="12"/>
  <c r="G177" i="12"/>
  <c r="J177" i="12" s="1"/>
  <c r="AA176" i="12"/>
  <c r="AG176" i="12" s="1"/>
  <c r="Z176" i="12"/>
  <c r="AF176" i="12" s="1"/>
  <c r="U176" i="12"/>
  <c r="T176" i="12"/>
  <c r="X176" i="12" s="1"/>
  <c r="S176" i="12"/>
  <c r="Q176" i="12"/>
  <c r="P176" i="12"/>
  <c r="O176" i="12"/>
  <c r="N176" i="12"/>
  <c r="L176" i="12"/>
  <c r="K176" i="12"/>
  <c r="J176" i="12"/>
  <c r="I176" i="12"/>
  <c r="H176" i="12"/>
  <c r="G176" i="12"/>
  <c r="AA175" i="12"/>
  <c r="Z175" i="12"/>
  <c r="U175" i="12"/>
  <c r="T175" i="12"/>
  <c r="X175" i="12" s="1"/>
  <c r="S175" i="12"/>
  <c r="Q175" i="12"/>
  <c r="P175" i="12"/>
  <c r="O175" i="12"/>
  <c r="N175" i="12"/>
  <c r="L175" i="12"/>
  <c r="K175" i="12"/>
  <c r="J175" i="12"/>
  <c r="I175" i="12"/>
  <c r="H175" i="12"/>
  <c r="G175" i="12"/>
  <c r="AA174" i="12"/>
  <c r="Z174" i="12"/>
  <c r="U174" i="12"/>
  <c r="S174" i="12"/>
  <c r="Q174" i="12"/>
  <c r="T174" i="12" s="1"/>
  <c r="X174" i="12" s="1"/>
  <c r="P174" i="12"/>
  <c r="O174" i="12"/>
  <c r="N174" i="12"/>
  <c r="L174" i="12"/>
  <c r="K174" i="12"/>
  <c r="I174" i="12"/>
  <c r="H174" i="12"/>
  <c r="G174" i="12"/>
  <c r="J174" i="12" s="1"/>
  <c r="AA173" i="12"/>
  <c r="AG173" i="12" s="1"/>
  <c r="Z173" i="12"/>
  <c r="AF173" i="12" s="1"/>
  <c r="U173" i="12"/>
  <c r="T173" i="12"/>
  <c r="X173" i="12" s="1"/>
  <c r="S173" i="12"/>
  <c r="Q173" i="12"/>
  <c r="P173" i="12"/>
  <c r="O173" i="12"/>
  <c r="N173" i="12"/>
  <c r="L173" i="12"/>
  <c r="K173" i="12"/>
  <c r="J173" i="12"/>
  <c r="I173" i="12"/>
  <c r="H173" i="12"/>
  <c r="G173" i="12"/>
  <c r="AA172" i="12"/>
  <c r="Z172" i="12"/>
  <c r="AF172" i="12" s="1"/>
  <c r="X172" i="12"/>
  <c r="U172" i="12"/>
  <c r="T172" i="12"/>
  <c r="S172" i="12"/>
  <c r="Q172" i="12"/>
  <c r="P172" i="12"/>
  <c r="O172" i="12"/>
  <c r="N172" i="12"/>
  <c r="L172" i="12"/>
  <c r="K172" i="12"/>
  <c r="J172" i="12"/>
  <c r="I172" i="12"/>
  <c r="H172" i="12"/>
  <c r="G172" i="12"/>
  <c r="AA171" i="12"/>
  <c r="AG171" i="12" s="1"/>
  <c r="Z171" i="12"/>
  <c r="U171" i="12"/>
  <c r="S171" i="12"/>
  <c r="Q171" i="12"/>
  <c r="T171" i="12" s="1"/>
  <c r="X171" i="12" s="1"/>
  <c r="P171" i="12"/>
  <c r="O171" i="12"/>
  <c r="N171" i="12"/>
  <c r="L171" i="12"/>
  <c r="K171" i="12"/>
  <c r="I171" i="12"/>
  <c r="H171" i="12"/>
  <c r="G171" i="12"/>
  <c r="J171" i="12" s="1"/>
  <c r="AA170" i="12"/>
  <c r="Z170" i="12"/>
  <c r="AD170" i="12" s="1"/>
  <c r="U170" i="12"/>
  <c r="S170" i="12"/>
  <c r="Q170" i="12"/>
  <c r="T170" i="12" s="1"/>
  <c r="X170" i="12" s="1"/>
  <c r="P170" i="12"/>
  <c r="O170" i="12"/>
  <c r="N170" i="12"/>
  <c r="L170" i="12"/>
  <c r="K170" i="12"/>
  <c r="I170" i="12"/>
  <c r="H170" i="12"/>
  <c r="G170" i="12"/>
  <c r="J170" i="12" s="1"/>
  <c r="AA169" i="12"/>
  <c r="Z169" i="12"/>
  <c r="AF169" i="12" s="1"/>
  <c r="U169" i="12"/>
  <c r="S169" i="12"/>
  <c r="T169" i="12" s="1"/>
  <c r="X169" i="12" s="1"/>
  <c r="Q169" i="12"/>
  <c r="P169" i="12"/>
  <c r="O169" i="12"/>
  <c r="N169" i="12"/>
  <c r="L169" i="12"/>
  <c r="K169" i="12"/>
  <c r="I169" i="12"/>
  <c r="J169" i="12" s="1"/>
  <c r="H169" i="12"/>
  <c r="G169" i="12"/>
  <c r="AA168" i="12"/>
  <c r="Z168" i="12"/>
  <c r="AF168" i="12" s="1"/>
  <c r="X168" i="12"/>
  <c r="U168" i="12"/>
  <c r="T168" i="12"/>
  <c r="S168" i="12"/>
  <c r="Q168" i="12"/>
  <c r="P168" i="12"/>
  <c r="O168" i="12"/>
  <c r="N168" i="12"/>
  <c r="L168" i="12"/>
  <c r="K168" i="12"/>
  <c r="J168" i="12"/>
  <c r="I168" i="12"/>
  <c r="H168" i="12"/>
  <c r="G168" i="12"/>
  <c r="AA167" i="12"/>
  <c r="Z167" i="12"/>
  <c r="X167" i="12"/>
  <c r="U167" i="12"/>
  <c r="T167" i="12"/>
  <c r="S167" i="12"/>
  <c r="Q167" i="12"/>
  <c r="P167" i="12"/>
  <c r="O167" i="12"/>
  <c r="N167" i="12"/>
  <c r="L167" i="12"/>
  <c r="K167" i="12"/>
  <c r="I167" i="12"/>
  <c r="H167" i="12"/>
  <c r="G167" i="12"/>
  <c r="J167" i="12" s="1"/>
  <c r="AA166" i="12"/>
  <c r="Z166" i="12"/>
  <c r="AF166" i="12" s="1"/>
  <c r="U166" i="12"/>
  <c r="S166" i="12"/>
  <c r="Q166" i="12"/>
  <c r="T166" i="12" s="1"/>
  <c r="X166" i="12" s="1"/>
  <c r="P166" i="12"/>
  <c r="O166" i="12"/>
  <c r="N166" i="12"/>
  <c r="L166" i="12"/>
  <c r="K166" i="12"/>
  <c r="I166" i="12"/>
  <c r="H166" i="12"/>
  <c r="G166" i="12"/>
  <c r="J166" i="12" s="1"/>
  <c r="AA165" i="12"/>
  <c r="AG165" i="12" s="1"/>
  <c r="Z165" i="12"/>
  <c r="U165" i="12"/>
  <c r="S165" i="12"/>
  <c r="Q165" i="12"/>
  <c r="T165" i="12" s="1"/>
  <c r="X165" i="12" s="1"/>
  <c r="P165" i="12"/>
  <c r="O165" i="12"/>
  <c r="N165" i="12"/>
  <c r="L165" i="12"/>
  <c r="K165" i="12"/>
  <c r="I165" i="12"/>
  <c r="H165" i="12"/>
  <c r="G165" i="12"/>
  <c r="AA164" i="12"/>
  <c r="AG164" i="12" s="1"/>
  <c r="Z164" i="12"/>
  <c r="AF164" i="12" s="1"/>
  <c r="U164" i="12"/>
  <c r="S164" i="12"/>
  <c r="Q164" i="12"/>
  <c r="P164" i="12"/>
  <c r="O164" i="12"/>
  <c r="N164" i="12"/>
  <c r="L164" i="12"/>
  <c r="K164" i="12"/>
  <c r="I164" i="12"/>
  <c r="H164" i="12"/>
  <c r="J164" i="12" s="1"/>
  <c r="G164" i="12"/>
  <c r="AA163" i="12"/>
  <c r="AG163" i="12" s="1"/>
  <c r="Z163" i="12"/>
  <c r="X163" i="12"/>
  <c r="U163" i="12"/>
  <c r="S163" i="12"/>
  <c r="T163" i="12" s="1"/>
  <c r="Q163" i="12"/>
  <c r="P163" i="12"/>
  <c r="O163" i="12"/>
  <c r="N163" i="12"/>
  <c r="L163" i="12"/>
  <c r="K163" i="12"/>
  <c r="I163" i="12"/>
  <c r="H163" i="12"/>
  <c r="G163" i="12"/>
  <c r="J163" i="12" s="1"/>
  <c r="AA162" i="12"/>
  <c r="AG162" i="12" s="1"/>
  <c r="Z162" i="12"/>
  <c r="AC162" i="12" s="1"/>
  <c r="U162" i="12"/>
  <c r="S162" i="12"/>
  <c r="Q162" i="12"/>
  <c r="T162" i="12" s="1"/>
  <c r="X162" i="12" s="1"/>
  <c r="P162" i="12"/>
  <c r="O162" i="12"/>
  <c r="N162" i="12"/>
  <c r="L162" i="12"/>
  <c r="K162" i="12"/>
  <c r="I162" i="12"/>
  <c r="H162" i="12"/>
  <c r="G162" i="12"/>
  <c r="AA161" i="12"/>
  <c r="Z161" i="12"/>
  <c r="AF161" i="12" s="1"/>
  <c r="U161" i="12"/>
  <c r="S161" i="12"/>
  <c r="T161" i="12" s="1"/>
  <c r="X161" i="12" s="1"/>
  <c r="Q161" i="12"/>
  <c r="P161" i="12"/>
  <c r="O161" i="12"/>
  <c r="N161" i="12"/>
  <c r="L161" i="12"/>
  <c r="K161" i="12"/>
  <c r="I161" i="12"/>
  <c r="J161" i="12" s="1"/>
  <c r="H161" i="12"/>
  <c r="G161" i="12"/>
  <c r="AA160" i="12"/>
  <c r="Z160" i="12"/>
  <c r="AF160" i="12" s="1"/>
  <c r="X160" i="12"/>
  <c r="U160" i="12"/>
  <c r="T160" i="12"/>
  <c r="S160" i="12"/>
  <c r="Q160" i="12"/>
  <c r="P160" i="12"/>
  <c r="O160" i="12"/>
  <c r="N160" i="12"/>
  <c r="L160" i="12"/>
  <c r="K160" i="12"/>
  <c r="J160" i="12"/>
  <c r="I160" i="12"/>
  <c r="H160" i="12"/>
  <c r="G160" i="12"/>
  <c r="AA159" i="12"/>
  <c r="AG159" i="12" s="1"/>
  <c r="Z159" i="12"/>
  <c r="X159" i="12"/>
  <c r="U159" i="12"/>
  <c r="S159" i="12"/>
  <c r="T159" i="12" s="1"/>
  <c r="Q159" i="12"/>
  <c r="P159" i="12"/>
  <c r="O159" i="12"/>
  <c r="N159" i="12"/>
  <c r="L159" i="12"/>
  <c r="K159" i="12"/>
  <c r="I159" i="12"/>
  <c r="H159" i="12"/>
  <c r="G159" i="12"/>
  <c r="J159" i="12" s="1"/>
  <c r="AA158" i="12"/>
  <c r="AG158" i="12" s="1"/>
  <c r="Z158" i="12"/>
  <c r="X158" i="12"/>
  <c r="U158" i="12"/>
  <c r="S158" i="12"/>
  <c r="Q158" i="12"/>
  <c r="T158" i="12" s="1"/>
  <c r="P158" i="12"/>
  <c r="O158" i="12"/>
  <c r="N158" i="12"/>
  <c r="L158" i="12"/>
  <c r="K158" i="12"/>
  <c r="I158" i="12"/>
  <c r="H158" i="12"/>
  <c r="G158" i="12"/>
  <c r="J158" i="12" s="1"/>
  <c r="AA157" i="12"/>
  <c r="AG157" i="12" s="1"/>
  <c r="Z157" i="12"/>
  <c r="X157" i="12"/>
  <c r="U157" i="12"/>
  <c r="S157" i="12"/>
  <c r="Q157" i="12"/>
  <c r="T157" i="12" s="1"/>
  <c r="P157" i="12"/>
  <c r="O157" i="12"/>
  <c r="N157" i="12"/>
  <c r="L157" i="12"/>
  <c r="K157" i="12"/>
  <c r="I157" i="12"/>
  <c r="H157" i="12"/>
  <c r="G157" i="12"/>
  <c r="J157" i="12" s="1"/>
  <c r="AA156" i="12"/>
  <c r="AG156" i="12" s="1"/>
  <c r="Z156" i="12"/>
  <c r="AF156" i="12" s="1"/>
  <c r="U156" i="12"/>
  <c r="S156" i="12"/>
  <c r="Q156" i="12"/>
  <c r="T156" i="12" s="1"/>
  <c r="X156" i="12" s="1"/>
  <c r="P156" i="12"/>
  <c r="O156" i="12"/>
  <c r="N156" i="12"/>
  <c r="L156" i="12"/>
  <c r="K156" i="12"/>
  <c r="I156" i="12"/>
  <c r="H156" i="12"/>
  <c r="G156" i="12"/>
  <c r="J156" i="12" s="1"/>
  <c r="AA155" i="12"/>
  <c r="Z155" i="12"/>
  <c r="U155" i="12"/>
  <c r="T155" i="12"/>
  <c r="S155" i="12"/>
  <c r="Q155" i="12"/>
  <c r="P155" i="12"/>
  <c r="O155" i="12"/>
  <c r="N155" i="12"/>
  <c r="L155" i="12"/>
  <c r="K155" i="12"/>
  <c r="J155" i="12"/>
  <c r="I155" i="12"/>
  <c r="H155" i="12"/>
  <c r="G155" i="12"/>
  <c r="AA154" i="12"/>
  <c r="Z154" i="12"/>
  <c r="U154" i="12"/>
  <c r="S154" i="12"/>
  <c r="Q154" i="12"/>
  <c r="T154" i="12" s="1"/>
  <c r="X154" i="12" s="1"/>
  <c r="P154" i="12"/>
  <c r="O154" i="12"/>
  <c r="N154" i="12"/>
  <c r="L154" i="12"/>
  <c r="K154" i="12"/>
  <c r="I154" i="12"/>
  <c r="H154" i="12"/>
  <c r="G154" i="12"/>
  <c r="J154" i="12" s="1"/>
  <c r="AA153" i="12"/>
  <c r="Z153" i="12"/>
  <c r="AF153" i="12" s="1"/>
  <c r="U153" i="12"/>
  <c r="S153" i="12"/>
  <c r="Q153" i="12"/>
  <c r="T153" i="12" s="1"/>
  <c r="X153" i="12" s="1"/>
  <c r="P153" i="12"/>
  <c r="O153" i="12"/>
  <c r="N153" i="12"/>
  <c r="L153" i="12"/>
  <c r="K153" i="12"/>
  <c r="I153" i="12"/>
  <c r="H153" i="12"/>
  <c r="G153" i="12"/>
  <c r="J153" i="12" s="1"/>
  <c r="AF152" i="12"/>
  <c r="AA152" i="12"/>
  <c r="Z152" i="12"/>
  <c r="U152" i="12"/>
  <c r="S152" i="12"/>
  <c r="Q152" i="12"/>
  <c r="T152" i="12" s="1"/>
  <c r="X152" i="12" s="1"/>
  <c r="P152" i="12"/>
  <c r="O152" i="12"/>
  <c r="N152" i="12"/>
  <c r="L152" i="12"/>
  <c r="K152" i="12"/>
  <c r="I152" i="12"/>
  <c r="H152" i="12"/>
  <c r="G152" i="12"/>
  <c r="AA151" i="12"/>
  <c r="Z151" i="12"/>
  <c r="U151" i="12"/>
  <c r="T151" i="12"/>
  <c r="X151" i="12" s="1"/>
  <c r="S151" i="12"/>
  <c r="Q151" i="12"/>
  <c r="P151" i="12"/>
  <c r="O151" i="12"/>
  <c r="N151" i="12"/>
  <c r="L151" i="12"/>
  <c r="K151" i="12"/>
  <c r="J151" i="12"/>
  <c r="I151" i="12"/>
  <c r="H151" i="12"/>
  <c r="G151" i="12"/>
  <c r="AA150" i="12"/>
  <c r="Z150" i="12"/>
  <c r="AF150" i="12" s="1"/>
  <c r="U150" i="12"/>
  <c r="T150" i="12"/>
  <c r="X150" i="12" s="1"/>
  <c r="S150" i="12"/>
  <c r="Q150" i="12"/>
  <c r="P150" i="12"/>
  <c r="O150" i="12"/>
  <c r="N150" i="12"/>
  <c r="L150" i="12"/>
  <c r="K150" i="12"/>
  <c r="J150" i="12"/>
  <c r="I150" i="12"/>
  <c r="H150" i="12"/>
  <c r="G150" i="12"/>
  <c r="AA149" i="12"/>
  <c r="AG149" i="12" s="1"/>
  <c r="Z149" i="12"/>
  <c r="AD149" i="12" s="1"/>
  <c r="X149" i="12"/>
  <c r="U149" i="12"/>
  <c r="S149" i="12"/>
  <c r="Q149" i="12"/>
  <c r="T149" i="12" s="1"/>
  <c r="P149" i="12"/>
  <c r="O149" i="12"/>
  <c r="N149" i="12"/>
  <c r="L149" i="12"/>
  <c r="K149" i="12"/>
  <c r="I149" i="12"/>
  <c r="H149" i="12"/>
  <c r="G149" i="12"/>
  <c r="J149" i="12" s="1"/>
  <c r="AA148" i="12"/>
  <c r="AG148" i="12" s="1"/>
  <c r="Z148" i="12"/>
  <c r="U148" i="12"/>
  <c r="S148" i="12"/>
  <c r="Q148" i="12"/>
  <c r="T148" i="12" s="1"/>
  <c r="X148" i="12" s="1"/>
  <c r="P148" i="12"/>
  <c r="O148" i="12"/>
  <c r="N148" i="12"/>
  <c r="L148" i="12"/>
  <c r="K148" i="12"/>
  <c r="I148" i="12"/>
  <c r="H148" i="12"/>
  <c r="G148" i="12"/>
  <c r="J148" i="12" s="1"/>
  <c r="AG147" i="12"/>
  <c r="AF147" i="12"/>
  <c r="AA147" i="12"/>
  <c r="Z147" i="12"/>
  <c r="U147" i="12"/>
  <c r="S147" i="12"/>
  <c r="T147" i="12" s="1"/>
  <c r="X147" i="12" s="1"/>
  <c r="Q147" i="12"/>
  <c r="P147" i="12"/>
  <c r="O147" i="12"/>
  <c r="N147" i="12"/>
  <c r="L147" i="12"/>
  <c r="K147" i="12"/>
  <c r="I147" i="12"/>
  <c r="J147" i="12" s="1"/>
  <c r="H147" i="12"/>
  <c r="G147" i="12"/>
  <c r="AA146" i="12"/>
  <c r="Z146" i="12"/>
  <c r="U146" i="12"/>
  <c r="T146" i="12"/>
  <c r="X146" i="12" s="1"/>
  <c r="S146" i="12"/>
  <c r="Q146" i="12"/>
  <c r="P146" i="12"/>
  <c r="O146" i="12"/>
  <c r="N146" i="12"/>
  <c r="L146" i="12"/>
  <c r="K146" i="12"/>
  <c r="J146" i="12"/>
  <c r="I146" i="12"/>
  <c r="H146" i="12"/>
  <c r="G146" i="12"/>
  <c r="AA145" i="12"/>
  <c r="AG145" i="12" s="1"/>
  <c r="Z145" i="12"/>
  <c r="U145" i="12"/>
  <c r="S145" i="12"/>
  <c r="Q145" i="12"/>
  <c r="T145" i="12" s="1"/>
  <c r="X145" i="12" s="1"/>
  <c r="P145" i="12"/>
  <c r="O145" i="12"/>
  <c r="N145" i="12"/>
  <c r="L145" i="12"/>
  <c r="K145" i="12"/>
  <c r="I145" i="12"/>
  <c r="H145" i="12"/>
  <c r="G145" i="12"/>
  <c r="J145" i="12" s="1"/>
  <c r="AA144" i="12"/>
  <c r="Z144" i="12"/>
  <c r="AF144" i="12" s="1"/>
  <c r="X144" i="12"/>
  <c r="U144" i="12"/>
  <c r="S144" i="12"/>
  <c r="Q144" i="12"/>
  <c r="T144" i="12" s="1"/>
  <c r="P144" i="12"/>
  <c r="O144" i="12"/>
  <c r="N144" i="12"/>
  <c r="L144" i="12"/>
  <c r="K144" i="12"/>
  <c r="I144" i="12"/>
  <c r="H144" i="12"/>
  <c r="G144" i="12"/>
  <c r="J144" i="12" s="1"/>
  <c r="AA143" i="12"/>
  <c r="Z143" i="12"/>
  <c r="X143" i="12"/>
  <c r="U143" i="12"/>
  <c r="S143" i="12"/>
  <c r="Q143" i="12"/>
  <c r="T143" i="12" s="1"/>
  <c r="P143" i="12"/>
  <c r="O143" i="12"/>
  <c r="N143" i="12"/>
  <c r="L143" i="12"/>
  <c r="K143" i="12"/>
  <c r="I143" i="12"/>
  <c r="H143" i="12"/>
  <c r="G143" i="12"/>
  <c r="J143" i="12" s="1"/>
  <c r="AD142" i="12"/>
  <c r="AA142" i="12"/>
  <c r="AG142" i="12" s="1"/>
  <c r="Z142" i="12"/>
  <c r="AF142" i="12" s="1"/>
  <c r="U142" i="12"/>
  <c r="S142" i="12"/>
  <c r="Q142" i="12"/>
  <c r="P142" i="12"/>
  <c r="O142" i="12"/>
  <c r="N142" i="12"/>
  <c r="L142" i="12"/>
  <c r="K142" i="12"/>
  <c r="I142" i="12"/>
  <c r="H142" i="12"/>
  <c r="G142" i="12"/>
  <c r="AA141" i="12"/>
  <c r="Z141" i="12"/>
  <c r="U141" i="12"/>
  <c r="T141" i="12"/>
  <c r="S141" i="12"/>
  <c r="Q141" i="12"/>
  <c r="P141" i="12"/>
  <c r="O141" i="12"/>
  <c r="N141" i="12"/>
  <c r="L141" i="12"/>
  <c r="K141" i="12"/>
  <c r="J141" i="12"/>
  <c r="I141" i="12"/>
  <c r="H141" i="12"/>
  <c r="G141" i="12"/>
  <c r="AA140" i="12"/>
  <c r="Z140" i="12"/>
  <c r="U140" i="12"/>
  <c r="S140" i="12"/>
  <c r="Q140" i="12"/>
  <c r="T140" i="12" s="1"/>
  <c r="P140" i="12"/>
  <c r="O140" i="12"/>
  <c r="N140" i="12"/>
  <c r="L140" i="12"/>
  <c r="K140" i="12"/>
  <c r="I140" i="12"/>
  <c r="H140" i="12"/>
  <c r="G140" i="12"/>
  <c r="J140" i="12" s="1"/>
  <c r="AA139" i="12"/>
  <c r="AG139" i="12" s="1"/>
  <c r="Z139" i="12"/>
  <c r="U139" i="12"/>
  <c r="S139" i="12"/>
  <c r="Q139" i="12"/>
  <c r="T139" i="12" s="1"/>
  <c r="X139" i="12" s="1"/>
  <c r="P139" i="12"/>
  <c r="O139" i="12"/>
  <c r="N139" i="12"/>
  <c r="L139" i="12"/>
  <c r="K139" i="12"/>
  <c r="I139" i="12"/>
  <c r="H139" i="12"/>
  <c r="G139" i="12"/>
  <c r="AA138" i="12"/>
  <c r="Z138" i="12"/>
  <c r="U138" i="12"/>
  <c r="S138" i="12"/>
  <c r="Q138" i="12"/>
  <c r="T138" i="12" s="1"/>
  <c r="X138" i="12" s="1"/>
  <c r="P138" i="12"/>
  <c r="O138" i="12"/>
  <c r="N138" i="12"/>
  <c r="L138" i="12"/>
  <c r="K138" i="12"/>
  <c r="I138" i="12"/>
  <c r="H138" i="12"/>
  <c r="G138" i="12"/>
  <c r="AA137" i="12"/>
  <c r="AG137" i="12" s="1"/>
  <c r="Z137" i="12"/>
  <c r="X137" i="12"/>
  <c r="U137" i="12"/>
  <c r="T137" i="12"/>
  <c r="S137" i="12"/>
  <c r="Q137" i="12"/>
  <c r="P137" i="12"/>
  <c r="O137" i="12"/>
  <c r="N137" i="12"/>
  <c r="L137" i="12"/>
  <c r="K137" i="12"/>
  <c r="J137" i="12"/>
  <c r="I137" i="12"/>
  <c r="H137" i="12"/>
  <c r="G137" i="12"/>
  <c r="AA136" i="12"/>
  <c r="Z136" i="12"/>
  <c r="X136" i="12"/>
  <c r="U136" i="12"/>
  <c r="S136" i="12"/>
  <c r="Q136" i="12"/>
  <c r="T136" i="12" s="1"/>
  <c r="P136" i="12"/>
  <c r="O136" i="12"/>
  <c r="N136" i="12"/>
  <c r="L136" i="12"/>
  <c r="K136" i="12"/>
  <c r="I136" i="12"/>
  <c r="H136" i="12"/>
  <c r="G136" i="12"/>
  <c r="J136" i="12" s="1"/>
  <c r="AA135" i="12"/>
  <c r="AG135" i="12" s="1"/>
  <c r="Z135" i="12"/>
  <c r="X135" i="12"/>
  <c r="U135" i="12"/>
  <c r="S135" i="12"/>
  <c r="Q135" i="12"/>
  <c r="T135" i="12" s="1"/>
  <c r="P135" i="12"/>
  <c r="O135" i="12"/>
  <c r="N135" i="12"/>
  <c r="L135" i="12"/>
  <c r="K135" i="12"/>
  <c r="I135" i="12"/>
  <c r="H135" i="12"/>
  <c r="G135" i="12"/>
  <c r="J135" i="12" s="1"/>
  <c r="AA134" i="12"/>
  <c r="AG134" i="12" s="1"/>
  <c r="Z134" i="12"/>
  <c r="AF134" i="12" s="1"/>
  <c r="U134" i="12"/>
  <c r="T134" i="12"/>
  <c r="X134" i="12" s="1"/>
  <c r="S134" i="12"/>
  <c r="Q134" i="12"/>
  <c r="P134" i="12"/>
  <c r="O134" i="12"/>
  <c r="N134" i="12"/>
  <c r="L134" i="12"/>
  <c r="K134" i="12"/>
  <c r="J134" i="12"/>
  <c r="I134" i="12"/>
  <c r="H134" i="12"/>
  <c r="G134" i="12"/>
  <c r="AA133" i="12"/>
  <c r="Z133" i="12"/>
  <c r="AF133" i="12" s="1"/>
  <c r="U133" i="12"/>
  <c r="T133" i="12"/>
  <c r="X133" i="12" s="1"/>
  <c r="S133" i="12"/>
  <c r="Q133" i="12"/>
  <c r="P133" i="12"/>
  <c r="O133" i="12"/>
  <c r="N133" i="12"/>
  <c r="L133" i="12"/>
  <c r="K133" i="12"/>
  <c r="J133" i="12"/>
  <c r="I133" i="12"/>
  <c r="H133" i="12"/>
  <c r="G133" i="12"/>
  <c r="AA132" i="12"/>
  <c r="Z132" i="12"/>
  <c r="AC132" i="12" s="1"/>
  <c r="U132" i="12"/>
  <c r="T132" i="12"/>
  <c r="X132" i="12" s="1"/>
  <c r="S132" i="12"/>
  <c r="Q132" i="12"/>
  <c r="P132" i="12"/>
  <c r="O132" i="12"/>
  <c r="N132" i="12"/>
  <c r="L132" i="12"/>
  <c r="K132" i="12"/>
  <c r="J132" i="12"/>
  <c r="I132" i="12"/>
  <c r="H132" i="12"/>
  <c r="G132" i="12"/>
  <c r="AA131" i="12"/>
  <c r="AG131" i="12" s="1"/>
  <c r="Z131" i="12"/>
  <c r="X131" i="12"/>
  <c r="U131" i="12"/>
  <c r="S131" i="12"/>
  <c r="Q131" i="12"/>
  <c r="T131" i="12" s="1"/>
  <c r="P131" i="12"/>
  <c r="O131" i="12"/>
  <c r="N131" i="12"/>
  <c r="L131" i="12"/>
  <c r="K131" i="12"/>
  <c r="I131" i="12"/>
  <c r="H131" i="12"/>
  <c r="G131" i="12"/>
  <c r="J131" i="12" s="1"/>
  <c r="AA130" i="12"/>
  <c r="Z130" i="12"/>
  <c r="U130" i="12"/>
  <c r="S130" i="12"/>
  <c r="Q130" i="12"/>
  <c r="T130" i="12" s="1"/>
  <c r="X130" i="12" s="1"/>
  <c r="P130" i="12"/>
  <c r="O130" i="12"/>
  <c r="N130" i="12"/>
  <c r="L130" i="12"/>
  <c r="K130" i="12"/>
  <c r="I130" i="12"/>
  <c r="H130" i="12"/>
  <c r="G130" i="12"/>
  <c r="J130" i="12" s="1"/>
  <c r="AA129" i="12"/>
  <c r="AG129" i="12" s="1"/>
  <c r="Z129" i="12"/>
  <c r="U129" i="12"/>
  <c r="S129" i="12"/>
  <c r="Q129" i="12"/>
  <c r="T129" i="12" s="1"/>
  <c r="X129" i="12" s="1"/>
  <c r="P129" i="12"/>
  <c r="O129" i="12"/>
  <c r="N129" i="12"/>
  <c r="L129" i="12"/>
  <c r="K129" i="12"/>
  <c r="I129" i="12"/>
  <c r="H129" i="12"/>
  <c r="G129" i="12"/>
  <c r="J129" i="12" s="1"/>
  <c r="AA128" i="12"/>
  <c r="Z128" i="12"/>
  <c r="AF128" i="12" s="1"/>
  <c r="U128" i="12"/>
  <c r="T128" i="12"/>
  <c r="X128" i="12" s="1"/>
  <c r="S128" i="12"/>
  <c r="Q128" i="12"/>
  <c r="P128" i="12"/>
  <c r="O128" i="12"/>
  <c r="N128" i="12"/>
  <c r="L128" i="12"/>
  <c r="K128" i="12"/>
  <c r="I128" i="12"/>
  <c r="H128" i="12"/>
  <c r="G128" i="12"/>
  <c r="J128" i="12" s="1"/>
  <c r="AA127" i="12"/>
  <c r="Z127" i="12"/>
  <c r="U127" i="12"/>
  <c r="T127" i="12"/>
  <c r="X127" i="12" s="1"/>
  <c r="S127" i="12"/>
  <c r="Q127" i="12"/>
  <c r="P127" i="12"/>
  <c r="O127" i="12"/>
  <c r="N127" i="12"/>
  <c r="L127" i="12"/>
  <c r="K127" i="12"/>
  <c r="I127" i="12"/>
  <c r="H127" i="12"/>
  <c r="G127" i="12"/>
  <c r="J127" i="12" s="1"/>
  <c r="AA126" i="12"/>
  <c r="AG126" i="12" s="1"/>
  <c r="Z126" i="12"/>
  <c r="AD126" i="12" s="1"/>
  <c r="U126" i="12"/>
  <c r="S126" i="12"/>
  <c r="Q126" i="12"/>
  <c r="P126" i="12"/>
  <c r="O126" i="12"/>
  <c r="N126" i="12"/>
  <c r="L126" i="12"/>
  <c r="K126" i="12"/>
  <c r="I126" i="12"/>
  <c r="H126" i="12"/>
  <c r="G126" i="12"/>
  <c r="AA125" i="12"/>
  <c r="AG125" i="12" s="1"/>
  <c r="Z125" i="12"/>
  <c r="U125" i="12"/>
  <c r="S125" i="12"/>
  <c r="Q125" i="12"/>
  <c r="T125" i="12" s="1"/>
  <c r="X125" i="12" s="1"/>
  <c r="P125" i="12"/>
  <c r="O125" i="12"/>
  <c r="N125" i="12"/>
  <c r="L125" i="12"/>
  <c r="K125" i="12"/>
  <c r="I125" i="12"/>
  <c r="H125" i="12"/>
  <c r="G125" i="12"/>
  <c r="J125" i="12" s="1"/>
  <c r="AA124" i="12"/>
  <c r="AG124" i="12" s="1"/>
  <c r="Z124" i="12"/>
  <c r="AF124" i="12" s="1"/>
  <c r="U124" i="12"/>
  <c r="S124" i="12"/>
  <c r="Q124" i="12"/>
  <c r="T124" i="12" s="1"/>
  <c r="X124" i="12" s="1"/>
  <c r="P124" i="12"/>
  <c r="O124" i="12"/>
  <c r="N124" i="12"/>
  <c r="L124" i="12"/>
  <c r="K124" i="12"/>
  <c r="I124" i="12"/>
  <c r="H124" i="12"/>
  <c r="G124" i="12"/>
  <c r="AA123" i="12"/>
  <c r="AG123" i="12" s="1"/>
  <c r="Z123" i="12"/>
  <c r="U123" i="12"/>
  <c r="S123" i="12"/>
  <c r="T123" i="12" s="1"/>
  <c r="X123" i="12" s="1"/>
  <c r="Q123" i="12"/>
  <c r="P123" i="12"/>
  <c r="O123" i="12"/>
  <c r="N123" i="12"/>
  <c r="L123" i="12"/>
  <c r="K123" i="12"/>
  <c r="I123" i="12"/>
  <c r="J123" i="12" s="1"/>
  <c r="H123" i="12"/>
  <c r="G123" i="12"/>
  <c r="AA122" i="12"/>
  <c r="AG122" i="12" s="1"/>
  <c r="Z122" i="12"/>
  <c r="U122" i="12"/>
  <c r="T122" i="12"/>
  <c r="X122" i="12" s="1"/>
  <c r="S122" i="12"/>
  <c r="Q122" i="12"/>
  <c r="P122" i="12"/>
  <c r="O122" i="12"/>
  <c r="N122" i="12"/>
  <c r="L122" i="12"/>
  <c r="K122" i="12"/>
  <c r="J122" i="12"/>
  <c r="I122" i="12"/>
  <c r="H122" i="12"/>
  <c r="G122" i="12"/>
  <c r="AA121" i="12"/>
  <c r="Z121" i="12"/>
  <c r="U121" i="12"/>
  <c r="T121" i="12"/>
  <c r="X121" i="12" s="1"/>
  <c r="S121" i="12"/>
  <c r="Q121" i="12"/>
  <c r="P121" i="12"/>
  <c r="O121" i="12"/>
  <c r="N121" i="12"/>
  <c r="L121" i="12"/>
  <c r="K121" i="12"/>
  <c r="J121" i="12"/>
  <c r="I121" i="12"/>
  <c r="H121" i="12"/>
  <c r="G121" i="12"/>
  <c r="AA120" i="12"/>
  <c r="Z120" i="12"/>
  <c r="U120" i="12"/>
  <c r="T120" i="12"/>
  <c r="X120" i="12" s="1"/>
  <c r="S120" i="12"/>
  <c r="Q120" i="12"/>
  <c r="P120" i="12"/>
  <c r="O120" i="12"/>
  <c r="L120" i="12"/>
  <c r="K120" i="12"/>
  <c r="I120" i="12"/>
  <c r="H120" i="12"/>
  <c r="G120" i="12"/>
  <c r="AA119" i="12"/>
  <c r="Z119" i="12"/>
  <c r="U119" i="12"/>
  <c r="T119" i="12"/>
  <c r="S119" i="12"/>
  <c r="Q119" i="12"/>
  <c r="P119" i="12"/>
  <c r="O119" i="12"/>
  <c r="N119" i="12"/>
  <c r="L119" i="12"/>
  <c r="K119" i="12"/>
  <c r="J119" i="12"/>
  <c r="I119" i="12"/>
  <c r="H119" i="12"/>
  <c r="G119" i="12"/>
  <c r="AA118" i="12"/>
  <c r="Z118" i="12"/>
  <c r="AF118" i="12" s="1"/>
  <c r="X118" i="12"/>
  <c r="U118" i="12"/>
  <c r="T118" i="12"/>
  <c r="S118" i="12"/>
  <c r="Q118" i="12"/>
  <c r="P118" i="12"/>
  <c r="O118" i="12"/>
  <c r="N118" i="12"/>
  <c r="L118" i="12"/>
  <c r="K118" i="12"/>
  <c r="I118" i="12"/>
  <c r="H118" i="12"/>
  <c r="G118" i="12"/>
  <c r="J118" i="12" s="1"/>
  <c r="AA117" i="12"/>
  <c r="AG117" i="12" s="1"/>
  <c r="Z117" i="12"/>
  <c r="U117" i="12"/>
  <c r="S117" i="12"/>
  <c r="Q117" i="12"/>
  <c r="T117" i="12" s="1"/>
  <c r="X117" i="12" s="1"/>
  <c r="P117" i="12"/>
  <c r="O117" i="12"/>
  <c r="N117" i="12"/>
  <c r="L117" i="12"/>
  <c r="K117" i="12"/>
  <c r="I117" i="12"/>
  <c r="H117" i="12"/>
  <c r="G117" i="12"/>
  <c r="AA116" i="12"/>
  <c r="Z116" i="12"/>
  <c r="U116" i="12"/>
  <c r="T116" i="12"/>
  <c r="X116" i="12" s="1"/>
  <c r="S116" i="12"/>
  <c r="Q116" i="12"/>
  <c r="P116" i="12"/>
  <c r="O116" i="12"/>
  <c r="N116" i="12"/>
  <c r="L116" i="12"/>
  <c r="K116" i="12"/>
  <c r="J116" i="12"/>
  <c r="I116" i="12"/>
  <c r="H116" i="12"/>
  <c r="G116" i="12"/>
  <c r="AA115" i="12"/>
  <c r="Z115" i="12"/>
  <c r="U115" i="12"/>
  <c r="S115" i="12"/>
  <c r="Q115" i="12"/>
  <c r="P115" i="12"/>
  <c r="O115" i="12"/>
  <c r="N115" i="12"/>
  <c r="L115" i="12"/>
  <c r="K115" i="12"/>
  <c r="I115" i="12"/>
  <c r="H115" i="12"/>
  <c r="G115" i="12"/>
  <c r="J115" i="12" s="1"/>
  <c r="AA114" i="12"/>
  <c r="Z114" i="12"/>
  <c r="AF114" i="12" s="1"/>
  <c r="X114" i="12"/>
  <c r="U114" i="12"/>
  <c r="T114" i="12"/>
  <c r="S114" i="12"/>
  <c r="Q114" i="12"/>
  <c r="P114" i="12"/>
  <c r="O114" i="12"/>
  <c r="N114" i="12"/>
  <c r="L114" i="12"/>
  <c r="K114" i="12"/>
  <c r="I114" i="12"/>
  <c r="H114" i="12"/>
  <c r="G114" i="12"/>
  <c r="J114" i="12" s="1"/>
  <c r="AA113" i="12"/>
  <c r="Z113" i="12"/>
  <c r="X113" i="12"/>
  <c r="U113" i="12"/>
  <c r="T113" i="12"/>
  <c r="S113" i="12"/>
  <c r="Q113" i="12"/>
  <c r="P113" i="12"/>
  <c r="O113" i="12"/>
  <c r="N113" i="12"/>
  <c r="L113" i="12"/>
  <c r="K113" i="12"/>
  <c r="I113" i="12"/>
  <c r="H113" i="12"/>
  <c r="G113" i="12"/>
  <c r="J113" i="12" s="1"/>
  <c r="AA112" i="12"/>
  <c r="AG112" i="12" s="1"/>
  <c r="Z112" i="12"/>
  <c r="U112" i="12"/>
  <c r="S112" i="12"/>
  <c r="Q112" i="12"/>
  <c r="T112" i="12" s="1"/>
  <c r="X112" i="12" s="1"/>
  <c r="P112" i="12"/>
  <c r="O112" i="12"/>
  <c r="N112" i="12"/>
  <c r="L112" i="12"/>
  <c r="K112" i="12"/>
  <c r="I112" i="12"/>
  <c r="H112" i="12"/>
  <c r="G112" i="12"/>
  <c r="AA111" i="12"/>
  <c r="AG111" i="12" s="1"/>
  <c r="Z111" i="12"/>
  <c r="U111" i="12"/>
  <c r="S111" i="12"/>
  <c r="Q111" i="12"/>
  <c r="T111" i="12" s="1"/>
  <c r="X111" i="12" s="1"/>
  <c r="P111" i="12"/>
  <c r="O111" i="12"/>
  <c r="N111" i="12"/>
  <c r="L111" i="12"/>
  <c r="K111" i="12"/>
  <c r="I111" i="12"/>
  <c r="H111" i="12"/>
  <c r="G111" i="12"/>
  <c r="AA110" i="12"/>
  <c r="AG110" i="12" s="1"/>
  <c r="Z110" i="12"/>
  <c r="U110" i="12"/>
  <c r="S110" i="12"/>
  <c r="T110" i="12" s="1"/>
  <c r="X110" i="12" s="1"/>
  <c r="Q110" i="12"/>
  <c r="P110" i="12"/>
  <c r="O110" i="12"/>
  <c r="N110" i="12"/>
  <c r="L110" i="12"/>
  <c r="K110" i="12"/>
  <c r="I110" i="12"/>
  <c r="H110" i="12"/>
  <c r="G110" i="12"/>
  <c r="J110" i="12" s="1"/>
  <c r="AA109" i="12"/>
  <c r="Z109" i="12"/>
  <c r="U109" i="12"/>
  <c r="S109" i="12"/>
  <c r="Q109" i="12"/>
  <c r="P109" i="12"/>
  <c r="O109" i="12"/>
  <c r="N109" i="12"/>
  <c r="L109" i="12"/>
  <c r="K109" i="12"/>
  <c r="I109" i="12"/>
  <c r="H109" i="12"/>
  <c r="J109" i="12" s="1"/>
  <c r="G109" i="12"/>
  <c r="AA108" i="12"/>
  <c r="Z108" i="12"/>
  <c r="X108" i="12"/>
  <c r="U108" i="12"/>
  <c r="T108" i="12"/>
  <c r="S108" i="12"/>
  <c r="Q108" i="12"/>
  <c r="P108" i="12"/>
  <c r="O108" i="12"/>
  <c r="N108" i="12"/>
  <c r="L108" i="12"/>
  <c r="K108" i="12"/>
  <c r="J108" i="12"/>
  <c r="I108" i="12"/>
  <c r="H108" i="12"/>
  <c r="G108" i="12"/>
  <c r="AA107" i="12"/>
  <c r="Z107" i="12"/>
  <c r="X107" i="12"/>
  <c r="U107" i="12"/>
  <c r="T107" i="12"/>
  <c r="S107" i="12"/>
  <c r="Q107" i="12"/>
  <c r="P107" i="12"/>
  <c r="O107" i="12"/>
  <c r="N107" i="12"/>
  <c r="L107" i="12"/>
  <c r="K107" i="12"/>
  <c r="I107" i="12"/>
  <c r="H107" i="12"/>
  <c r="G107" i="12"/>
  <c r="J107" i="12" s="1"/>
  <c r="AA106" i="12"/>
  <c r="Z106" i="12"/>
  <c r="AF106" i="12" s="1"/>
  <c r="U106" i="12"/>
  <c r="S106" i="12"/>
  <c r="Q106" i="12"/>
  <c r="T106" i="12" s="1"/>
  <c r="X106" i="12" s="1"/>
  <c r="P106" i="12"/>
  <c r="O106" i="12"/>
  <c r="N106" i="12"/>
  <c r="L106" i="12"/>
  <c r="K106" i="12"/>
  <c r="I106" i="12"/>
  <c r="H106" i="12"/>
  <c r="G106" i="12"/>
  <c r="J106" i="12" s="1"/>
  <c r="AA105" i="12"/>
  <c r="Z105" i="12"/>
  <c r="AE105" i="12" s="1"/>
  <c r="X105" i="12"/>
  <c r="U105" i="12"/>
  <c r="S105" i="12"/>
  <c r="Q105" i="12"/>
  <c r="T105" i="12" s="1"/>
  <c r="P105" i="12"/>
  <c r="O105" i="12"/>
  <c r="N105" i="12"/>
  <c r="L105" i="12"/>
  <c r="K105" i="12"/>
  <c r="I105" i="12"/>
  <c r="H105" i="12"/>
  <c r="G105" i="12"/>
  <c r="AA104" i="12"/>
  <c r="AG104" i="12" s="1"/>
  <c r="Z104" i="12"/>
  <c r="U104" i="12"/>
  <c r="T104" i="12"/>
  <c r="X104" i="12" s="1"/>
  <c r="S104" i="12"/>
  <c r="Q104" i="12"/>
  <c r="P104" i="12"/>
  <c r="O104" i="12"/>
  <c r="N104" i="12"/>
  <c r="L104" i="12"/>
  <c r="K104" i="12"/>
  <c r="J104" i="12"/>
  <c r="I104" i="12"/>
  <c r="H104" i="12"/>
  <c r="G104" i="12"/>
  <c r="AA103" i="12"/>
  <c r="Z103" i="12"/>
  <c r="AF103" i="12" s="1"/>
  <c r="U103" i="12"/>
  <c r="T103" i="12"/>
  <c r="X103" i="12" s="1"/>
  <c r="S103" i="12"/>
  <c r="Q103" i="12"/>
  <c r="P103" i="12"/>
  <c r="O103" i="12"/>
  <c r="N103" i="12"/>
  <c r="L103" i="12"/>
  <c r="K103" i="12"/>
  <c r="J103" i="12"/>
  <c r="I103" i="12"/>
  <c r="H103" i="12"/>
  <c r="G103" i="12"/>
  <c r="AA102" i="12"/>
  <c r="AG102" i="12" s="1"/>
  <c r="Z102" i="12"/>
  <c r="X102" i="12"/>
  <c r="U102" i="12"/>
  <c r="T102" i="12"/>
  <c r="S102" i="12"/>
  <c r="Q102" i="12"/>
  <c r="P102" i="12"/>
  <c r="O102" i="12"/>
  <c r="N102" i="12"/>
  <c r="L102" i="12"/>
  <c r="K102" i="12"/>
  <c r="I102" i="12"/>
  <c r="H102" i="12"/>
  <c r="G102" i="12"/>
  <c r="J102" i="12" s="1"/>
  <c r="AA101" i="12"/>
  <c r="Z101" i="12"/>
  <c r="AD101" i="12" s="1"/>
  <c r="U101" i="12"/>
  <c r="S101" i="12"/>
  <c r="Q101" i="12"/>
  <c r="T101" i="12" s="1"/>
  <c r="P101" i="12"/>
  <c r="O101" i="12"/>
  <c r="N101" i="12"/>
  <c r="L101" i="12"/>
  <c r="K101" i="12"/>
  <c r="I101" i="12"/>
  <c r="H101" i="12"/>
  <c r="J101" i="12" s="1"/>
  <c r="G101" i="12"/>
  <c r="AA100" i="12"/>
  <c r="Z100" i="12"/>
  <c r="U100" i="12"/>
  <c r="T100" i="12"/>
  <c r="X100" i="12" s="1"/>
  <c r="S100" i="12"/>
  <c r="Q100" i="12"/>
  <c r="P100" i="12"/>
  <c r="O100" i="12"/>
  <c r="N100" i="12"/>
  <c r="L100" i="12"/>
  <c r="K100" i="12"/>
  <c r="J100" i="12"/>
  <c r="I100" i="12"/>
  <c r="H100" i="12"/>
  <c r="G100" i="12"/>
  <c r="AA99" i="12"/>
  <c r="AG99" i="12" s="1"/>
  <c r="Z99" i="12"/>
  <c r="U99" i="12"/>
  <c r="T99" i="12"/>
  <c r="X99" i="12" s="1"/>
  <c r="S99" i="12"/>
  <c r="Q99" i="12"/>
  <c r="P99" i="12"/>
  <c r="O99" i="12"/>
  <c r="N99" i="12"/>
  <c r="L99" i="12"/>
  <c r="K99" i="12"/>
  <c r="J99" i="12"/>
  <c r="I99" i="12"/>
  <c r="H99" i="12"/>
  <c r="G99" i="12"/>
  <c r="AA98" i="12"/>
  <c r="AG98" i="12" s="1"/>
  <c r="Z98" i="12"/>
  <c r="AF98" i="12" s="1"/>
  <c r="U98" i="12"/>
  <c r="S98" i="12"/>
  <c r="Q98" i="12"/>
  <c r="P98" i="12"/>
  <c r="O98" i="12"/>
  <c r="N98" i="12"/>
  <c r="L98" i="12"/>
  <c r="K98" i="12"/>
  <c r="I98" i="12"/>
  <c r="H98" i="12"/>
  <c r="G98" i="12"/>
  <c r="AA97" i="12"/>
  <c r="AG97" i="12" s="1"/>
  <c r="Z97" i="12"/>
  <c r="U97" i="12"/>
  <c r="S97" i="12"/>
  <c r="Q97" i="12"/>
  <c r="P97" i="12"/>
  <c r="O97" i="12"/>
  <c r="N97" i="12"/>
  <c r="L97" i="12"/>
  <c r="K97" i="12"/>
  <c r="I97" i="12"/>
  <c r="H97" i="12"/>
  <c r="G97" i="12"/>
  <c r="AA96" i="12"/>
  <c r="AG96" i="12" s="1"/>
  <c r="Z96" i="12"/>
  <c r="U96" i="12"/>
  <c r="S96" i="12"/>
  <c r="Q96" i="12"/>
  <c r="T96" i="12" s="1"/>
  <c r="X96" i="12" s="1"/>
  <c r="P96" i="12"/>
  <c r="O96" i="12"/>
  <c r="N96" i="12"/>
  <c r="L96" i="12"/>
  <c r="K96" i="12"/>
  <c r="I96" i="12"/>
  <c r="H96" i="12"/>
  <c r="J96" i="12" s="1"/>
  <c r="G96" i="12"/>
  <c r="AA95" i="12"/>
  <c r="Z95" i="12"/>
  <c r="U95" i="12"/>
  <c r="T95" i="12"/>
  <c r="X95" i="12" s="1"/>
  <c r="S95" i="12"/>
  <c r="Q95" i="12"/>
  <c r="P95" i="12"/>
  <c r="O95" i="12"/>
  <c r="N95" i="12"/>
  <c r="L95" i="12"/>
  <c r="K95" i="12"/>
  <c r="J95" i="12"/>
  <c r="I95" i="12"/>
  <c r="H95" i="12"/>
  <c r="G95" i="12"/>
  <c r="AA94" i="12"/>
  <c r="AG94" i="12" s="1"/>
  <c r="Z94" i="12"/>
  <c r="U94" i="12"/>
  <c r="T94" i="12"/>
  <c r="S94" i="12"/>
  <c r="Q94" i="12"/>
  <c r="P94" i="12"/>
  <c r="O94" i="12"/>
  <c r="N94" i="12"/>
  <c r="L94" i="12"/>
  <c r="K94" i="12"/>
  <c r="J94" i="12"/>
  <c r="I94" i="12"/>
  <c r="H94" i="12"/>
  <c r="G94" i="12"/>
  <c r="AA93" i="12"/>
  <c r="AG93" i="12" s="1"/>
  <c r="Z93" i="12"/>
  <c r="AF93" i="12" s="1"/>
  <c r="U93" i="12"/>
  <c r="S93" i="12"/>
  <c r="Q93" i="12"/>
  <c r="T93" i="12" s="1"/>
  <c r="X93" i="12" s="1"/>
  <c r="P93" i="12"/>
  <c r="O93" i="12"/>
  <c r="N93" i="12"/>
  <c r="L93" i="12"/>
  <c r="K93" i="12"/>
  <c r="I93" i="12"/>
  <c r="H93" i="12"/>
  <c r="G93" i="12"/>
  <c r="J93" i="12" s="1"/>
  <c r="AA92" i="12"/>
  <c r="Z92" i="12"/>
  <c r="AF92" i="12" s="1"/>
  <c r="U92" i="12"/>
  <c r="S92" i="12"/>
  <c r="Q92" i="12"/>
  <c r="P92" i="12"/>
  <c r="O92" i="12"/>
  <c r="N92" i="12"/>
  <c r="L92" i="12"/>
  <c r="K92" i="12"/>
  <c r="I92" i="12"/>
  <c r="H92" i="12"/>
  <c r="G92" i="12"/>
  <c r="AA91" i="12"/>
  <c r="AG91" i="12" s="1"/>
  <c r="Z91" i="12"/>
  <c r="U91" i="12"/>
  <c r="S91" i="12"/>
  <c r="T91" i="12" s="1"/>
  <c r="X91" i="12" s="1"/>
  <c r="Q91" i="12"/>
  <c r="P91" i="12"/>
  <c r="O91" i="12"/>
  <c r="N91" i="12"/>
  <c r="L91" i="12"/>
  <c r="K91" i="12"/>
  <c r="I91" i="12"/>
  <c r="J91" i="12" s="1"/>
  <c r="H91" i="12"/>
  <c r="G91" i="12"/>
  <c r="AA90" i="12"/>
  <c r="Z90" i="12"/>
  <c r="X90" i="12"/>
  <c r="U90" i="12"/>
  <c r="T90" i="12"/>
  <c r="S90" i="12"/>
  <c r="Q90" i="12"/>
  <c r="P90" i="12"/>
  <c r="O90" i="12"/>
  <c r="N90" i="12"/>
  <c r="L90" i="12"/>
  <c r="K90" i="12"/>
  <c r="J90" i="12"/>
  <c r="I90" i="12"/>
  <c r="H90" i="12"/>
  <c r="G90" i="12"/>
  <c r="AA89" i="12"/>
  <c r="Z89" i="12"/>
  <c r="U89" i="12"/>
  <c r="T89" i="12"/>
  <c r="S89" i="12"/>
  <c r="Q89" i="12"/>
  <c r="P89" i="12"/>
  <c r="O89" i="12"/>
  <c r="N89" i="12"/>
  <c r="L89" i="12"/>
  <c r="K89" i="12"/>
  <c r="J89" i="12"/>
  <c r="I89" i="12"/>
  <c r="H89" i="12"/>
  <c r="G89" i="12"/>
  <c r="AA88" i="12"/>
  <c r="AG88" i="12" s="1"/>
  <c r="Z88" i="12"/>
  <c r="U88" i="12"/>
  <c r="S88" i="12"/>
  <c r="Q88" i="12"/>
  <c r="T88" i="12" s="1"/>
  <c r="X88" i="12" s="1"/>
  <c r="P88" i="12"/>
  <c r="O88" i="12"/>
  <c r="N88" i="12"/>
  <c r="L88" i="12"/>
  <c r="K88" i="12"/>
  <c r="I88" i="12"/>
  <c r="H88" i="12"/>
  <c r="G88" i="12"/>
  <c r="AA87" i="12"/>
  <c r="AG87" i="12" s="1"/>
  <c r="Z87" i="12"/>
  <c r="U87" i="12"/>
  <c r="S87" i="12"/>
  <c r="Q87" i="12"/>
  <c r="T87" i="12" s="1"/>
  <c r="X87" i="12" s="1"/>
  <c r="P87" i="12"/>
  <c r="O87" i="12"/>
  <c r="N87" i="12"/>
  <c r="L87" i="12"/>
  <c r="K87" i="12"/>
  <c r="I87" i="12"/>
  <c r="H87" i="12"/>
  <c r="G87" i="12"/>
  <c r="J87" i="12" s="1"/>
  <c r="AA86" i="12"/>
  <c r="AG86" i="12" s="1"/>
  <c r="Z86" i="12"/>
  <c r="AF86" i="12" s="1"/>
  <c r="U86" i="12"/>
  <c r="T86" i="12"/>
  <c r="X86" i="12" s="1"/>
  <c r="S86" i="12"/>
  <c r="Q86" i="12"/>
  <c r="P86" i="12"/>
  <c r="O86" i="12"/>
  <c r="N86" i="12"/>
  <c r="L86" i="12"/>
  <c r="K86" i="12"/>
  <c r="I86" i="12"/>
  <c r="H86" i="12"/>
  <c r="G86" i="12"/>
  <c r="J86" i="12" s="1"/>
  <c r="AA85" i="12"/>
  <c r="AG85" i="12" s="1"/>
  <c r="Z85" i="12"/>
  <c r="X85" i="12"/>
  <c r="U85" i="12"/>
  <c r="T85" i="12"/>
  <c r="S85" i="12"/>
  <c r="Q85" i="12"/>
  <c r="P85" i="12"/>
  <c r="O85" i="12"/>
  <c r="N85" i="12"/>
  <c r="L85" i="12"/>
  <c r="K85" i="12"/>
  <c r="J85" i="12"/>
  <c r="I85" i="12"/>
  <c r="H85" i="12"/>
  <c r="G85" i="12"/>
  <c r="AA84" i="12"/>
  <c r="Z84" i="12"/>
  <c r="AF84" i="12" s="1"/>
  <c r="X84" i="12"/>
  <c r="U84" i="12"/>
  <c r="T84" i="12"/>
  <c r="S84" i="12"/>
  <c r="Q84" i="12"/>
  <c r="P84" i="12"/>
  <c r="O84" i="12"/>
  <c r="N84" i="12"/>
  <c r="L84" i="12"/>
  <c r="K84" i="12"/>
  <c r="I84" i="12"/>
  <c r="H84" i="12"/>
  <c r="G84" i="12"/>
  <c r="J84" i="12" s="1"/>
  <c r="AA83" i="12"/>
  <c r="Z83" i="12"/>
  <c r="X83" i="12"/>
  <c r="U83" i="12"/>
  <c r="T83" i="12"/>
  <c r="S83" i="12"/>
  <c r="Q83" i="12"/>
  <c r="P83" i="12"/>
  <c r="O83" i="12"/>
  <c r="N83" i="12"/>
  <c r="L83" i="12"/>
  <c r="K83" i="12"/>
  <c r="I83" i="12"/>
  <c r="H83" i="12"/>
  <c r="G83" i="12"/>
  <c r="J83" i="12" s="1"/>
  <c r="AA82" i="12"/>
  <c r="AG82" i="12" s="1"/>
  <c r="Z82" i="12"/>
  <c r="AC82" i="12" s="1"/>
  <c r="U82" i="12"/>
  <c r="S82" i="12"/>
  <c r="Q82" i="12"/>
  <c r="T82" i="12" s="1"/>
  <c r="X82" i="12" s="1"/>
  <c r="P82" i="12"/>
  <c r="O82" i="12"/>
  <c r="N82" i="12"/>
  <c r="L82" i="12"/>
  <c r="K82" i="12"/>
  <c r="I82" i="12"/>
  <c r="H82" i="12"/>
  <c r="J82" i="12" s="1"/>
  <c r="G82" i="12"/>
  <c r="AA81" i="12"/>
  <c r="Z81" i="12"/>
  <c r="X81" i="12"/>
  <c r="U81" i="12"/>
  <c r="S81" i="12"/>
  <c r="Q81" i="12"/>
  <c r="T81" i="12" s="1"/>
  <c r="P81" i="12"/>
  <c r="O81" i="12"/>
  <c r="N81" i="12"/>
  <c r="L81" i="12"/>
  <c r="K81" i="12"/>
  <c r="I81" i="12"/>
  <c r="H81" i="12"/>
  <c r="G81" i="12"/>
  <c r="AA80" i="12"/>
  <c r="AG80" i="12" s="1"/>
  <c r="Z80" i="12"/>
  <c r="U80" i="12"/>
  <c r="T80" i="12"/>
  <c r="X80" i="12" s="1"/>
  <c r="S80" i="12"/>
  <c r="Q80" i="12"/>
  <c r="P80" i="12"/>
  <c r="O80" i="12"/>
  <c r="N80" i="12"/>
  <c r="L80" i="12"/>
  <c r="K80" i="12"/>
  <c r="J80" i="12"/>
  <c r="I80" i="12"/>
  <c r="H80" i="12"/>
  <c r="G80" i="12"/>
  <c r="AA79" i="12"/>
  <c r="AG79" i="12" s="1"/>
  <c r="Z79" i="12"/>
  <c r="AF79" i="12" s="1"/>
  <c r="U79" i="12"/>
  <c r="S79" i="12"/>
  <c r="Q79" i="12"/>
  <c r="T79" i="12" s="1"/>
  <c r="X79" i="12" s="1"/>
  <c r="P79" i="12"/>
  <c r="O79" i="12"/>
  <c r="N79" i="12"/>
  <c r="L79" i="12"/>
  <c r="K79" i="12"/>
  <c r="I79" i="12"/>
  <c r="H79" i="12"/>
  <c r="G79" i="12"/>
  <c r="AA78" i="12"/>
  <c r="AG78" i="12" s="1"/>
  <c r="Z78" i="12"/>
  <c r="AF78" i="12" s="1"/>
  <c r="U78" i="12"/>
  <c r="S78" i="12"/>
  <c r="Q78" i="12"/>
  <c r="P78" i="12"/>
  <c r="O78" i="12"/>
  <c r="N78" i="12"/>
  <c r="L78" i="12"/>
  <c r="K78" i="12"/>
  <c r="I78" i="12"/>
  <c r="H78" i="12"/>
  <c r="G78" i="12"/>
  <c r="AA77" i="12"/>
  <c r="AG77" i="12" s="1"/>
  <c r="Z77" i="12"/>
  <c r="U77" i="12"/>
  <c r="S77" i="12"/>
  <c r="Q77" i="12"/>
  <c r="T77" i="12" s="1"/>
  <c r="X77" i="12" s="1"/>
  <c r="P77" i="12"/>
  <c r="O77" i="12"/>
  <c r="N77" i="12"/>
  <c r="L77" i="12"/>
  <c r="K77" i="12"/>
  <c r="I77" i="12"/>
  <c r="H77" i="12"/>
  <c r="J77" i="12" s="1"/>
  <c r="G77" i="12"/>
  <c r="AA76" i="12"/>
  <c r="Z76" i="12"/>
  <c r="U76" i="12"/>
  <c r="T76" i="12"/>
  <c r="X76" i="12" s="1"/>
  <c r="S76" i="12"/>
  <c r="Q76" i="12"/>
  <c r="P76" i="12"/>
  <c r="O76" i="12"/>
  <c r="N76" i="12"/>
  <c r="L76" i="12"/>
  <c r="K76" i="12"/>
  <c r="J76" i="12"/>
  <c r="I76" i="12"/>
  <c r="H76" i="12"/>
  <c r="G76" i="12"/>
  <c r="AA75" i="12"/>
  <c r="Z75" i="12"/>
  <c r="U75" i="12"/>
  <c r="S75" i="12"/>
  <c r="T75" i="12" s="1"/>
  <c r="X75" i="12" s="1"/>
  <c r="Q75" i="12"/>
  <c r="P75" i="12"/>
  <c r="O75" i="12"/>
  <c r="N75" i="12"/>
  <c r="L75" i="12"/>
  <c r="K75" i="12"/>
  <c r="I75" i="12"/>
  <c r="J75" i="12" s="1"/>
  <c r="H75" i="12"/>
  <c r="G75" i="12"/>
  <c r="AA74" i="12"/>
  <c r="AG74" i="12" s="1"/>
  <c r="Z74" i="12"/>
  <c r="AF74" i="12" s="1"/>
  <c r="X74" i="12"/>
  <c r="U74" i="12"/>
  <c r="S74" i="12"/>
  <c r="Q74" i="12"/>
  <c r="T74" i="12" s="1"/>
  <c r="P74" i="12"/>
  <c r="O74" i="12"/>
  <c r="N74" i="12"/>
  <c r="L74" i="12"/>
  <c r="K74" i="12"/>
  <c r="I74" i="12"/>
  <c r="H74" i="12"/>
  <c r="G74" i="12"/>
  <c r="AA73" i="12"/>
  <c r="Z73" i="12"/>
  <c r="AF73" i="12" s="1"/>
  <c r="U73" i="12"/>
  <c r="S73" i="12"/>
  <c r="Q73" i="12"/>
  <c r="T73" i="12" s="1"/>
  <c r="X73" i="12" s="1"/>
  <c r="P73" i="12"/>
  <c r="O73" i="12"/>
  <c r="N73" i="12"/>
  <c r="L73" i="12"/>
  <c r="K73" i="12"/>
  <c r="I73" i="12"/>
  <c r="H73" i="12"/>
  <c r="G73" i="12"/>
  <c r="J73" i="12" s="1"/>
  <c r="AA72" i="12"/>
  <c r="AG72" i="12" s="1"/>
  <c r="Z72" i="12"/>
  <c r="U72" i="12"/>
  <c r="S72" i="12"/>
  <c r="Q72" i="12"/>
  <c r="P72" i="12"/>
  <c r="O72" i="12"/>
  <c r="N72" i="12"/>
  <c r="L72" i="12"/>
  <c r="K72" i="12"/>
  <c r="I72" i="12"/>
  <c r="H72" i="12"/>
  <c r="G72" i="12"/>
  <c r="AA71" i="12"/>
  <c r="Z71" i="12"/>
  <c r="U71" i="12"/>
  <c r="T71" i="12"/>
  <c r="X71" i="12" s="1"/>
  <c r="S71" i="12"/>
  <c r="Q71" i="12"/>
  <c r="P71" i="12"/>
  <c r="O71" i="12"/>
  <c r="N71" i="12"/>
  <c r="L71" i="12"/>
  <c r="K71" i="12"/>
  <c r="J71" i="12"/>
  <c r="I71" i="12"/>
  <c r="H71" i="12"/>
  <c r="G71" i="12"/>
  <c r="AA70" i="12"/>
  <c r="Z70" i="12"/>
  <c r="U70" i="12"/>
  <c r="T70" i="12"/>
  <c r="S70" i="12"/>
  <c r="Q70" i="12"/>
  <c r="P70" i="12"/>
  <c r="O70" i="12"/>
  <c r="N70" i="12"/>
  <c r="L70" i="12"/>
  <c r="K70" i="12"/>
  <c r="J70" i="12"/>
  <c r="I70" i="12"/>
  <c r="H70" i="12"/>
  <c r="G70" i="12"/>
  <c r="AA69" i="12"/>
  <c r="AG69" i="12" s="1"/>
  <c r="Z69" i="12"/>
  <c r="U69" i="12"/>
  <c r="S69" i="12"/>
  <c r="Q69" i="12"/>
  <c r="T69" i="12" s="1"/>
  <c r="X69" i="12" s="1"/>
  <c r="P69" i="12"/>
  <c r="O69" i="12"/>
  <c r="N69" i="12"/>
  <c r="L69" i="12"/>
  <c r="K69" i="12"/>
  <c r="I69" i="12"/>
  <c r="H69" i="12"/>
  <c r="G69" i="12"/>
  <c r="J69" i="12" s="1"/>
  <c r="AA68" i="12"/>
  <c r="Z68" i="12"/>
  <c r="AC68" i="12" s="1"/>
  <c r="U68" i="12"/>
  <c r="S68" i="12"/>
  <c r="Q68" i="12"/>
  <c r="P68" i="12"/>
  <c r="O68" i="12"/>
  <c r="L68" i="12"/>
  <c r="K68" i="12"/>
  <c r="I68" i="12"/>
  <c r="H68" i="12"/>
  <c r="G68" i="12"/>
  <c r="J68" i="12" s="1"/>
  <c r="AA67" i="12"/>
  <c r="Z67" i="12"/>
  <c r="U67" i="12"/>
  <c r="S67" i="12"/>
  <c r="T67" i="12" s="1"/>
  <c r="X67" i="12" s="1"/>
  <c r="Q67" i="12"/>
  <c r="P67" i="12"/>
  <c r="O67" i="12"/>
  <c r="N67" i="12"/>
  <c r="L67" i="12"/>
  <c r="K67" i="12"/>
  <c r="I67" i="12"/>
  <c r="H67" i="12"/>
  <c r="J67" i="12" s="1"/>
  <c r="G67" i="12"/>
  <c r="AA66" i="12"/>
  <c r="AG66" i="12" s="1"/>
  <c r="Z66" i="12"/>
  <c r="U66" i="12"/>
  <c r="T66" i="12"/>
  <c r="X66" i="12" s="1"/>
  <c r="S66" i="12"/>
  <c r="Q66" i="12"/>
  <c r="P66" i="12"/>
  <c r="O66" i="12"/>
  <c r="N66" i="12"/>
  <c r="L66" i="12"/>
  <c r="K66" i="12"/>
  <c r="J66" i="12"/>
  <c r="I66" i="12"/>
  <c r="H66" i="12"/>
  <c r="G66" i="12"/>
  <c r="AA65" i="12"/>
  <c r="AG65" i="12" s="1"/>
  <c r="Z65" i="12"/>
  <c r="AF65" i="12" s="1"/>
  <c r="U65" i="12"/>
  <c r="S65" i="12"/>
  <c r="Q65" i="12"/>
  <c r="P65" i="12"/>
  <c r="O65" i="12"/>
  <c r="N65" i="12"/>
  <c r="L65" i="12"/>
  <c r="K65" i="12"/>
  <c r="I65" i="12"/>
  <c r="H65" i="12"/>
  <c r="G65" i="12"/>
  <c r="AA64" i="12"/>
  <c r="AG64" i="12" s="1"/>
  <c r="Z64" i="12"/>
  <c r="U64" i="12"/>
  <c r="T64" i="12"/>
  <c r="X64" i="12" s="1"/>
  <c r="S64" i="12"/>
  <c r="Q64" i="12"/>
  <c r="P64" i="12"/>
  <c r="O64" i="12"/>
  <c r="N64" i="12"/>
  <c r="L64" i="12"/>
  <c r="K64" i="12"/>
  <c r="I64" i="12"/>
  <c r="H64" i="12"/>
  <c r="G64" i="12"/>
  <c r="J64" i="12" s="1"/>
  <c r="AA63" i="12"/>
  <c r="Z63" i="12"/>
  <c r="AF63" i="12" s="1"/>
  <c r="U63" i="12"/>
  <c r="T63" i="12"/>
  <c r="X63" i="12" s="1"/>
  <c r="S63" i="12"/>
  <c r="Q63" i="12"/>
  <c r="P63" i="12"/>
  <c r="O63" i="12"/>
  <c r="N63" i="12"/>
  <c r="L63" i="12"/>
  <c r="K63" i="12"/>
  <c r="J63" i="12"/>
  <c r="I63" i="12"/>
  <c r="H63" i="12"/>
  <c r="G63" i="12"/>
  <c r="AA62" i="12"/>
  <c r="Z62" i="12"/>
  <c r="U62" i="12"/>
  <c r="T62" i="12"/>
  <c r="S62" i="12"/>
  <c r="Q62" i="12"/>
  <c r="P62" i="12"/>
  <c r="O62" i="12"/>
  <c r="N62" i="12"/>
  <c r="L62" i="12"/>
  <c r="K62" i="12"/>
  <c r="J62" i="12"/>
  <c r="I62" i="12"/>
  <c r="H62" i="12"/>
  <c r="G62" i="12"/>
  <c r="AA61" i="12"/>
  <c r="Z61" i="12"/>
  <c r="AF61" i="12" s="1"/>
  <c r="U61" i="12"/>
  <c r="S61" i="12"/>
  <c r="Q61" i="12"/>
  <c r="T61" i="12" s="1"/>
  <c r="X61" i="12" s="1"/>
  <c r="P61" i="12"/>
  <c r="O61" i="12"/>
  <c r="N61" i="12"/>
  <c r="L61" i="12"/>
  <c r="K61" i="12"/>
  <c r="I61" i="12"/>
  <c r="H61" i="12"/>
  <c r="J61" i="12" s="1"/>
  <c r="G61" i="12"/>
  <c r="AA60" i="12"/>
  <c r="Z60" i="12"/>
  <c r="U60" i="12"/>
  <c r="X60" i="12" s="1"/>
  <c r="S60" i="12"/>
  <c r="Q60" i="12"/>
  <c r="T60" i="12" s="1"/>
  <c r="P60" i="12"/>
  <c r="O60" i="12"/>
  <c r="N60" i="12"/>
  <c r="L60" i="12"/>
  <c r="K60" i="12"/>
  <c r="I60" i="12"/>
  <c r="H60" i="12"/>
  <c r="J60" i="12" s="1"/>
  <c r="G60" i="12"/>
  <c r="AA59" i="12"/>
  <c r="AG59" i="12" s="1"/>
  <c r="Z59" i="12"/>
  <c r="U59" i="12"/>
  <c r="S59" i="12"/>
  <c r="Q59" i="12"/>
  <c r="T59" i="12" s="1"/>
  <c r="X59" i="12" s="1"/>
  <c r="P59" i="12"/>
  <c r="O59" i="12"/>
  <c r="N59" i="12"/>
  <c r="L59" i="12"/>
  <c r="K59" i="12"/>
  <c r="I59" i="12"/>
  <c r="H59" i="12"/>
  <c r="J59" i="12" s="1"/>
  <c r="G59" i="12"/>
  <c r="AA58" i="12"/>
  <c r="AG58" i="12" s="1"/>
  <c r="Z58" i="12"/>
  <c r="U58" i="12"/>
  <c r="T58" i="12"/>
  <c r="X58" i="12" s="1"/>
  <c r="S58" i="12"/>
  <c r="Q58" i="12"/>
  <c r="P58" i="12"/>
  <c r="O58" i="12"/>
  <c r="N58" i="12"/>
  <c r="L58" i="12"/>
  <c r="K58" i="12"/>
  <c r="J58" i="12"/>
  <c r="I58" i="12"/>
  <c r="H58" i="12"/>
  <c r="G58" i="12"/>
  <c r="AA57" i="12"/>
  <c r="Z57" i="12"/>
  <c r="AF57" i="12" s="1"/>
  <c r="U57" i="12"/>
  <c r="X57" i="12" s="1"/>
  <c r="S57" i="12"/>
  <c r="Q57" i="12"/>
  <c r="T57" i="12" s="1"/>
  <c r="P57" i="12"/>
  <c r="O57" i="12"/>
  <c r="N57" i="12"/>
  <c r="L57" i="12"/>
  <c r="K57" i="12"/>
  <c r="I57" i="12"/>
  <c r="H57" i="12"/>
  <c r="G57" i="12"/>
  <c r="J57" i="12" s="1"/>
  <c r="AA56" i="12"/>
  <c r="Z56" i="12"/>
  <c r="AD56" i="12" s="1"/>
  <c r="U56" i="12"/>
  <c r="T56" i="12"/>
  <c r="X56" i="12" s="1"/>
  <c r="S56" i="12"/>
  <c r="Q56" i="12"/>
  <c r="P56" i="12"/>
  <c r="O56" i="12"/>
  <c r="N56" i="12"/>
  <c r="L56" i="12"/>
  <c r="K56" i="12"/>
  <c r="I56" i="12"/>
  <c r="H56" i="12"/>
  <c r="G56" i="12"/>
  <c r="J56" i="12" s="1"/>
  <c r="AA55" i="12"/>
  <c r="Z55" i="12"/>
  <c r="AF55" i="12" s="1"/>
  <c r="U55" i="12"/>
  <c r="T55" i="12"/>
  <c r="X55" i="12" s="1"/>
  <c r="S55" i="12"/>
  <c r="Q55" i="12"/>
  <c r="P55" i="12"/>
  <c r="O55" i="12"/>
  <c r="N55" i="12"/>
  <c r="L55" i="12"/>
  <c r="K55" i="12"/>
  <c r="I55" i="12"/>
  <c r="H55" i="12"/>
  <c r="G55" i="12"/>
  <c r="J55" i="12" s="1"/>
  <c r="AA54" i="12"/>
  <c r="Z54" i="12"/>
  <c r="U54" i="12"/>
  <c r="S54" i="12"/>
  <c r="Q54" i="12"/>
  <c r="P54" i="12"/>
  <c r="O54" i="12"/>
  <c r="N54" i="12"/>
  <c r="L54" i="12"/>
  <c r="K54" i="12"/>
  <c r="I54" i="12"/>
  <c r="H54" i="12"/>
  <c r="J54" i="12" s="1"/>
  <c r="G54" i="12"/>
  <c r="AA53" i="12"/>
  <c r="AG53" i="12" s="1"/>
  <c r="Z53" i="12"/>
  <c r="AF53" i="12" s="1"/>
  <c r="X53" i="12"/>
  <c r="U53" i="12"/>
  <c r="S53" i="12"/>
  <c r="Q53" i="12"/>
  <c r="T53" i="12" s="1"/>
  <c r="P53" i="12"/>
  <c r="O53" i="12"/>
  <c r="N53" i="12"/>
  <c r="L53" i="12"/>
  <c r="K53" i="12"/>
  <c r="I53" i="12"/>
  <c r="H53" i="12"/>
  <c r="G53" i="12"/>
  <c r="AA52" i="12"/>
  <c r="AG52" i="12" s="1"/>
  <c r="Z52" i="12"/>
  <c r="U52" i="12"/>
  <c r="S52" i="12"/>
  <c r="Q52" i="12"/>
  <c r="P52" i="12"/>
  <c r="O52" i="12"/>
  <c r="N52" i="12"/>
  <c r="L52" i="12"/>
  <c r="K52" i="12"/>
  <c r="I52" i="12"/>
  <c r="H52" i="12"/>
  <c r="G52" i="12"/>
  <c r="AA51" i="12"/>
  <c r="Z51" i="12"/>
  <c r="U51" i="12"/>
  <c r="T51" i="12"/>
  <c r="X51" i="12" s="1"/>
  <c r="S51" i="12"/>
  <c r="Q51" i="12"/>
  <c r="P51" i="12"/>
  <c r="O51" i="12"/>
  <c r="N51" i="12"/>
  <c r="L51" i="12"/>
  <c r="K51" i="12"/>
  <c r="J51" i="12"/>
  <c r="I51" i="12"/>
  <c r="H51" i="12"/>
  <c r="G51" i="12"/>
  <c r="AA50" i="12"/>
  <c r="AG50" i="12" s="1"/>
  <c r="Z50" i="12"/>
  <c r="U50" i="12"/>
  <c r="T50" i="12"/>
  <c r="X50" i="12" s="1"/>
  <c r="S50" i="12"/>
  <c r="Q50" i="12"/>
  <c r="P50" i="12"/>
  <c r="O50" i="12"/>
  <c r="N50" i="12"/>
  <c r="L50" i="12"/>
  <c r="K50" i="12"/>
  <c r="J50" i="12"/>
  <c r="I50" i="12"/>
  <c r="H50" i="12"/>
  <c r="G50" i="12"/>
  <c r="AA49" i="12"/>
  <c r="Z49" i="12"/>
  <c r="AF49" i="12" s="1"/>
  <c r="U49" i="12"/>
  <c r="T49" i="12"/>
  <c r="X49" i="12" s="1"/>
  <c r="S49" i="12"/>
  <c r="Q49" i="12"/>
  <c r="P49" i="12"/>
  <c r="O49" i="12"/>
  <c r="N49" i="12"/>
  <c r="L49" i="12"/>
  <c r="K49" i="12"/>
  <c r="J49" i="12"/>
  <c r="I49" i="12"/>
  <c r="H49" i="12"/>
  <c r="G49" i="12"/>
  <c r="AA48" i="12"/>
  <c r="Z48" i="12"/>
  <c r="AE48" i="12" s="1"/>
  <c r="U48" i="12"/>
  <c r="S48" i="12"/>
  <c r="T48" i="12" s="1"/>
  <c r="X48" i="12" s="1"/>
  <c r="Q48" i="12"/>
  <c r="P48" i="12"/>
  <c r="O48" i="12"/>
  <c r="N48" i="12"/>
  <c r="L48" i="12"/>
  <c r="K48" i="12"/>
  <c r="I48" i="12"/>
  <c r="H48" i="12"/>
  <c r="G48" i="12"/>
  <c r="J48" i="12" s="1"/>
  <c r="AA47" i="12"/>
  <c r="Z47" i="12"/>
  <c r="U47" i="12"/>
  <c r="S47" i="12"/>
  <c r="Q47" i="12"/>
  <c r="T47" i="12" s="1"/>
  <c r="X47" i="12" s="1"/>
  <c r="P47" i="12"/>
  <c r="O47" i="12"/>
  <c r="N47" i="12"/>
  <c r="L47" i="12"/>
  <c r="K47" i="12"/>
  <c r="I47" i="12"/>
  <c r="H47" i="12"/>
  <c r="G47" i="12"/>
  <c r="J47" i="12" s="1"/>
  <c r="AA46" i="12"/>
  <c r="Z46" i="12"/>
  <c r="U46" i="12"/>
  <c r="X46" i="12" s="1"/>
  <c r="S46" i="12"/>
  <c r="Q46" i="12"/>
  <c r="T46" i="12" s="1"/>
  <c r="P46" i="12"/>
  <c r="O46" i="12"/>
  <c r="N46" i="12"/>
  <c r="L46" i="12"/>
  <c r="K46" i="12"/>
  <c r="I46" i="12"/>
  <c r="H46" i="12"/>
  <c r="G46" i="12"/>
  <c r="AA45" i="12"/>
  <c r="AG45" i="12" s="1"/>
  <c r="Z45" i="12"/>
  <c r="AF45" i="12" s="1"/>
  <c r="X45" i="12"/>
  <c r="U45" i="12"/>
  <c r="S45" i="12"/>
  <c r="Q45" i="12"/>
  <c r="T45" i="12" s="1"/>
  <c r="P45" i="12"/>
  <c r="O45" i="12"/>
  <c r="N45" i="12"/>
  <c r="L45" i="12"/>
  <c r="K45" i="12"/>
  <c r="I45" i="12"/>
  <c r="H45" i="12"/>
  <c r="G45" i="12"/>
  <c r="J45" i="12" s="1"/>
  <c r="AA44" i="12"/>
  <c r="AG44" i="12" s="1"/>
  <c r="Z44" i="12"/>
  <c r="U44" i="12"/>
  <c r="S44" i="12"/>
  <c r="Q44" i="12"/>
  <c r="T44" i="12" s="1"/>
  <c r="X44" i="12" s="1"/>
  <c r="P44" i="12"/>
  <c r="O44" i="12"/>
  <c r="N44" i="12"/>
  <c r="L44" i="12"/>
  <c r="K44" i="12"/>
  <c r="I44" i="12"/>
  <c r="H44" i="12"/>
  <c r="G44" i="12"/>
  <c r="AA43" i="12"/>
  <c r="Z43" i="12"/>
  <c r="AF43" i="12" s="1"/>
  <c r="U43" i="12"/>
  <c r="S43" i="12"/>
  <c r="Q43" i="12"/>
  <c r="T43" i="12" s="1"/>
  <c r="X43" i="12" s="1"/>
  <c r="P43" i="12"/>
  <c r="O43" i="12"/>
  <c r="N43" i="12"/>
  <c r="L43" i="12"/>
  <c r="K43" i="12"/>
  <c r="I43" i="12"/>
  <c r="H43" i="12"/>
  <c r="G43" i="12"/>
  <c r="J43" i="12" s="1"/>
  <c r="AA42" i="12"/>
  <c r="AG42" i="12" s="1"/>
  <c r="Z42" i="12"/>
  <c r="X42" i="12"/>
  <c r="U42" i="12"/>
  <c r="T42" i="12"/>
  <c r="S42" i="12"/>
  <c r="Q42" i="12"/>
  <c r="P42" i="12"/>
  <c r="O42" i="12"/>
  <c r="N42" i="12"/>
  <c r="L42" i="12"/>
  <c r="K42" i="12"/>
  <c r="J42" i="12"/>
  <c r="I42" i="12"/>
  <c r="H42" i="12"/>
  <c r="G42" i="12"/>
  <c r="AA41" i="12"/>
  <c r="Z41" i="12"/>
  <c r="AF41" i="12" s="1"/>
  <c r="U41" i="12"/>
  <c r="T41" i="12"/>
  <c r="X41" i="12" s="1"/>
  <c r="S41" i="12"/>
  <c r="Q41" i="12"/>
  <c r="P41" i="12"/>
  <c r="O41" i="12"/>
  <c r="N41" i="12"/>
  <c r="L41" i="12"/>
  <c r="K41" i="12"/>
  <c r="J41" i="12"/>
  <c r="I41" i="12"/>
  <c r="H41" i="12"/>
  <c r="G41" i="12"/>
  <c r="AA40" i="12"/>
  <c r="AG40" i="12" s="1"/>
  <c r="Z40" i="12"/>
  <c r="AF40" i="12" s="1"/>
  <c r="U40" i="12"/>
  <c r="AE40" i="12" s="1"/>
  <c r="T40" i="12"/>
  <c r="X40" i="12" s="1"/>
  <c r="S40" i="12"/>
  <c r="Q40" i="12"/>
  <c r="P40" i="12"/>
  <c r="O40" i="12"/>
  <c r="N40" i="12"/>
  <c r="L40" i="12"/>
  <c r="K40" i="12"/>
  <c r="J40" i="12"/>
  <c r="I40" i="12"/>
  <c r="H40" i="12"/>
  <c r="G40" i="12"/>
  <c r="AA39" i="12"/>
  <c r="Z39" i="12"/>
  <c r="U39" i="12"/>
  <c r="S39" i="12"/>
  <c r="Q39" i="12"/>
  <c r="T39" i="12" s="1"/>
  <c r="X39" i="12" s="1"/>
  <c r="P39" i="12"/>
  <c r="O39" i="12"/>
  <c r="N39" i="12"/>
  <c r="L39" i="12"/>
  <c r="K39" i="12"/>
  <c r="I39" i="12"/>
  <c r="H39" i="12"/>
  <c r="G39" i="12"/>
  <c r="J39" i="12" s="1"/>
  <c r="AA38" i="12"/>
  <c r="Z38" i="12"/>
  <c r="U38" i="12"/>
  <c r="S38" i="12"/>
  <c r="T38" i="12" s="1"/>
  <c r="X38" i="12" s="1"/>
  <c r="Q38" i="12"/>
  <c r="P38" i="12"/>
  <c r="O38" i="12"/>
  <c r="N38" i="12"/>
  <c r="L38" i="12"/>
  <c r="K38" i="12"/>
  <c r="I38" i="12"/>
  <c r="J38" i="12" s="1"/>
  <c r="H38" i="12"/>
  <c r="G38" i="12"/>
  <c r="AA37" i="12"/>
  <c r="Z37" i="12"/>
  <c r="U37" i="12"/>
  <c r="S37" i="12"/>
  <c r="Q37" i="12"/>
  <c r="T37" i="12" s="1"/>
  <c r="X37" i="12" s="1"/>
  <c r="P37" i="12"/>
  <c r="O37" i="12"/>
  <c r="N37" i="12"/>
  <c r="L37" i="12"/>
  <c r="K37" i="12"/>
  <c r="I37" i="12"/>
  <c r="H37" i="12"/>
  <c r="G37" i="12"/>
  <c r="J37" i="12" s="1"/>
  <c r="AA36" i="12"/>
  <c r="AG36" i="12" s="1"/>
  <c r="Z36" i="12"/>
  <c r="U36" i="12"/>
  <c r="S36" i="12"/>
  <c r="Q36" i="12"/>
  <c r="P36" i="12"/>
  <c r="O36" i="12"/>
  <c r="N36" i="12"/>
  <c r="L36" i="12"/>
  <c r="K36" i="12"/>
  <c r="I36" i="12"/>
  <c r="H36" i="12"/>
  <c r="G36" i="12"/>
  <c r="AF35" i="12"/>
  <c r="AA35" i="12"/>
  <c r="Z35" i="12"/>
  <c r="U35" i="12"/>
  <c r="T35" i="12"/>
  <c r="X35" i="12" s="1"/>
  <c r="S35" i="12"/>
  <c r="Q35" i="12"/>
  <c r="P35" i="12"/>
  <c r="O35" i="12"/>
  <c r="N35" i="12"/>
  <c r="L35" i="12"/>
  <c r="K35" i="12"/>
  <c r="I35" i="12"/>
  <c r="H35" i="12"/>
  <c r="G35" i="12"/>
  <c r="J35" i="12" s="1"/>
  <c r="AA34" i="12"/>
  <c r="Z34" i="12"/>
  <c r="U34" i="12"/>
  <c r="T34" i="12"/>
  <c r="S34" i="12"/>
  <c r="Q34" i="12"/>
  <c r="P34" i="12"/>
  <c r="O34" i="12"/>
  <c r="N34" i="12"/>
  <c r="L34" i="12"/>
  <c r="K34" i="12"/>
  <c r="J34" i="12"/>
  <c r="I34" i="12"/>
  <c r="H34" i="12"/>
  <c r="G34" i="12"/>
  <c r="AA33" i="12"/>
  <c r="AG33" i="12" s="1"/>
  <c r="Z33" i="12"/>
  <c r="AD33" i="12" s="1"/>
  <c r="U33" i="12"/>
  <c r="S33" i="12"/>
  <c r="Q33" i="12"/>
  <c r="P33" i="12"/>
  <c r="O33" i="12"/>
  <c r="N33" i="12"/>
  <c r="L33" i="12"/>
  <c r="K33" i="12"/>
  <c r="I33" i="12"/>
  <c r="H33" i="12"/>
  <c r="G33" i="12"/>
  <c r="AA32" i="12"/>
  <c r="Z32" i="12"/>
  <c r="AF32" i="12" s="1"/>
  <c r="U32" i="12"/>
  <c r="S32" i="12"/>
  <c r="Q32" i="12"/>
  <c r="P32" i="12"/>
  <c r="O32" i="12"/>
  <c r="N32" i="12"/>
  <c r="L32" i="12"/>
  <c r="K32" i="12"/>
  <c r="I32" i="12"/>
  <c r="H32" i="12"/>
  <c r="J32" i="12" s="1"/>
  <c r="G32" i="12"/>
  <c r="AA31" i="12"/>
  <c r="Z31" i="12"/>
  <c r="U31" i="12"/>
  <c r="S31" i="12"/>
  <c r="Q31" i="12"/>
  <c r="P31" i="12"/>
  <c r="O31" i="12"/>
  <c r="N31" i="12"/>
  <c r="L31" i="12"/>
  <c r="K31" i="12"/>
  <c r="I31" i="12"/>
  <c r="H31" i="12"/>
  <c r="J31" i="12" s="1"/>
  <c r="G31" i="12"/>
  <c r="AA30" i="12"/>
  <c r="Z30" i="12"/>
  <c r="AC30" i="12" s="1"/>
  <c r="U30" i="12"/>
  <c r="S30" i="12"/>
  <c r="Q30" i="12"/>
  <c r="T30" i="12" s="1"/>
  <c r="P30" i="12"/>
  <c r="O30" i="12"/>
  <c r="N30" i="12"/>
  <c r="L30" i="12"/>
  <c r="K30" i="12"/>
  <c r="I30" i="12"/>
  <c r="H30" i="12"/>
  <c r="G30" i="12"/>
  <c r="J30" i="12" s="1"/>
  <c r="AA29" i="12"/>
  <c r="AG29" i="12" s="1"/>
  <c r="Z29" i="12"/>
  <c r="AF29" i="12" s="1"/>
  <c r="U29" i="12"/>
  <c r="S29" i="12"/>
  <c r="Q29" i="12"/>
  <c r="T29" i="12" s="1"/>
  <c r="X29" i="12" s="1"/>
  <c r="P29" i="12"/>
  <c r="O29" i="12"/>
  <c r="N29" i="12"/>
  <c r="L29" i="12"/>
  <c r="K29" i="12"/>
  <c r="I29" i="12"/>
  <c r="H29" i="12"/>
  <c r="G29" i="12"/>
  <c r="AA28" i="12"/>
  <c r="AG28" i="12" s="1"/>
  <c r="Z28" i="12"/>
  <c r="U28" i="12"/>
  <c r="S28" i="12"/>
  <c r="T28" i="12" s="1"/>
  <c r="X28" i="12" s="1"/>
  <c r="Q28" i="12"/>
  <c r="P28" i="12"/>
  <c r="O28" i="12"/>
  <c r="N28" i="12"/>
  <c r="L28" i="12"/>
  <c r="K28" i="12"/>
  <c r="I28" i="12"/>
  <c r="H28" i="12"/>
  <c r="G28" i="12"/>
  <c r="J28" i="12" s="1"/>
  <c r="AA27" i="12"/>
  <c r="Z27" i="12"/>
  <c r="AE27" i="12" s="1"/>
  <c r="U27" i="12"/>
  <c r="S27" i="12"/>
  <c r="Q27" i="12"/>
  <c r="T27" i="12" s="1"/>
  <c r="X27" i="12" s="1"/>
  <c r="P27" i="12"/>
  <c r="O27" i="12"/>
  <c r="N27" i="12"/>
  <c r="L27" i="12"/>
  <c r="K27" i="12"/>
  <c r="I27" i="12"/>
  <c r="H27" i="12"/>
  <c r="J27" i="12" s="1"/>
  <c r="G27" i="12"/>
  <c r="AA26" i="12"/>
  <c r="Z26" i="12"/>
  <c r="U26" i="12"/>
  <c r="S26" i="12"/>
  <c r="Q26" i="12"/>
  <c r="P26" i="12"/>
  <c r="O26" i="12"/>
  <c r="N26" i="12"/>
  <c r="L26" i="12"/>
  <c r="K26" i="12"/>
  <c r="I26" i="12"/>
  <c r="H26" i="12"/>
  <c r="G26" i="12"/>
  <c r="AA25" i="12"/>
  <c r="AG25" i="12" s="1"/>
  <c r="Z25" i="12"/>
  <c r="U25" i="12"/>
  <c r="T25" i="12"/>
  <c r="X25" i="12" s="1"/>
  <c r="S25" i="12"/>
  <c r="Q25" i="12"/>
  <c r="P25" i="12"/>
  <c r="O25" i="12"/>
  <c r="N25" i="12"/>
  <c r="L25" i="12"/>
  <c r="K25" i="12"/>
  <c r="J25" i="12"/>
  <c r="I25" i="12"/>
  <c r="H25" i="12"/>
  <c r="G25" i="12"/>
  <c r="AA24" i="12"/>
  <c r="AG24" i="12" s="1"/>
  <c r="Z24" i="12"/>
  <c r="AF24" i="12" s="1"/>
  <c r="U24" i="12"/>
  <c r="T24" i="12"/>
  <c r="X24" i="12" s="1"/>
  <c r="S24" i="12"/>
  <c r="Q24" i="12"/>
  <c r="P24" i="12"/>
  <c r="O24" i="12"/>
  <c r="N24" i="12"/>
  <c r="L24" i="12"/>
  <c r="K24" i="12"/>
  <c r="I24" i="12"/>
  <c r="H24" i="12"/>
  <c r="G24" i="12"/>
  <c r="J24" i="12" s="1"/>
  <c r="AA23" i="12"/>
  <c r="Z23" i="12"/>
  <c r="U23" i="12"/>
  <c r="T23" i="12"/>
  <c r="X23" i="12" s="1"/>
  <c r="S23" i="12"/>
  <c r="Q23" i="12"/>
  <c r="P23" i="12"/>
  <c r="O23" i="12"/>
  <c r="N23" i="12"/>
  <c r="L23" i="12"/>
  <c r="K23" i="12"/>
  <c r="I23" i="12"/>
  <c r="H23" i="12"/>
  <c r="G23" i="12"/>
  <c r="J23" i="12" s="1"/>
  <c r="AA22" i="12"/>
  <c r="Z22" i="12"/>
  <c r="U22" i="12"/>
  <c r="S22" i="12"/>
  <c r="Q22" i="12"/>
  <c r="P22" i="12"/>
  <c r="O22" i="12"/>
  <c r="N22" i="12"/>
  <c r="L22" i="12"/>
  <c r="K22" i="12"/>
  <c r="I22" i="12"/>
  <c r="H22" i="12"/>
  <c r="G22" i="12"/>
  <c r="AA21" i="12"/>
  <c r="Z21" i="12"/>
  <c r="AF21" i="12" s="1"/>
  <c r="X21" i="12"/>
  <c r="U21" i="12"/>
  <c r="AG21" i="12" s="1"/>
  <c r="S21" i="12"/>
  <c r="Q21" i="12"/>
  <c r="T21" i="12" s="1"/>
  <c r="P21" i="12"/>
  <c r="O21" i="12"/>
  <c r="N21" i="12"/>
  <c r="L21" i="12"/>
  <c r="K21" i="12"/>
  <c r="I21" i="12"/>
  <c r="H21" i="12"/>
  <c r="G21" i="12"/>
  <c r="AA20" i="12"/>
  <c r="Z20" i="12"/>
  <c r="AF20" i="12" s="1"/>
  <c r="X20" i="12"/>
  <c r="U20" i="12"/>
  <c r="S20" i="12"/>
  <c r="Q20" i="12"/>
  <c r="T20" i="12" s="1"/>
  <c r="P20" i="12"/>
  <c r="O20" i="12"/>
  <c r="N20" i="12"/>
  <c r="L20" i="12"/>
  <c r="K20" i="12"/>
  <c r="I20" i="12"/>
  <c r="H20" i="12"/>
  <c r="G20" i="12"/>
  <c r="AA19" i="12"/>
  <c r="Z19" i="12"/>
  <c r="AF19" i="12" s="1"/>
  <c r="U19" i="12"/>
  <c r="T19" i="12"/>
  <c r="X19" i="12" s="1"/>
  <c r="S19" i="12"/>
  <c r="Q19" i="12"/>
  <c r="P19" i="12"/>
  <c r="O19" i="12"/>
  <c r="N19" i="12"/>
  <c r="L19" i="12"/>
  <c r="K19" i="12"/>
  <c r="J19" i="12"/>
  <c r="I19" i="12"/>
  <c r="H19" i="12"/>
  <c r="G19" i="12"/>
  <c r="AA18" i="12"/>
  <c r="Z18" i="12"/>
  <c r="U18" i="12"/>
  <c r="T18" i="12"/>
  <c r="X18" i="12" s="1"/>
  <c r="S18" i="12"/>
  <c r="Q18" i="12"/>
  <c r="P18" i="12"/>
  <c r="O18" i="12"/>
  <c r="N18" i="12"/>
  <c r="L18" i="12"/>
  <c r="K18" i="12"/>
  <c r="J18" i="12"/>
  <c r="I18" i="12"/>
  <c r="H18" i="12"/>
  <c r="G18" i="12"/>
  <c r="AA17" i="12"/>
  <c r="Z17" i="12"/>
  <c r="U17" i="12"/>
  <c r="S17" i="12"/>
  <c r="Q17" i="12"/>
  <c r="P17" i="12"/>
  <c r="O17" i="12"/>
  <c r="N17" i="12"/>
  <c r="L17" i="12"/>
  <c r="K17" i="12"/>
  <c r="I17" i="12"/>
  <c r="H17" i="12"/>
  <c r="G17" i="12"/>
  <c r="AA16" i="12"/>
  <c r="Z16" i="12"/>
  <c r="U16" i="12"/>
  <c r="S16" i="12"/>
  <c r="Q16" i="12"/>
  <c r="T16" i="12" s="1"/>
  <c r="X16" i="12" s="1"/>
  <c r="P16" i="12"/>
  <c r="O16" i="12"/>
  <c r="N16" i="12"/>
  <c r="L16" i="12"/>
  <c r="K16" i="12"/>
  <c r="I16" i="12"/>
  <c r="H16" i="12"/>
  <c r="G16" i="12"/>
  <c r="J16" i="12" s="1"/>
  <c r="AA15" i="12"/>
  <c r="Z15" i="12"/>
  <c r="AF15" i="12" s="1"/>
  <c r="U15" i="12"/>
  <c r="S15" i="12"/>
  <c r="Q15" i="12"/>
  <c r="T15" i="12" s="1"/>
  <c r="X15" i="12" s="1"/>
  <c r="P15" i="12"/>
  <c r="O15" i="12"/>
  <c r="L15" i="12"/>
  <c r="K15" i="12"/>
  <c r="I15" i="12"/>
  <c r="H15" i="12"/>
  <c r="G15" i="12"/>
  <c r="J15" i="12" s="1"/>
  <c r="AA14" i="12"/>
  <c r="AG14" i="12" s="1"/>
  <c r="Z14" i="12"/>
  <c r="U14" i="12"/>
  <c r="S14" i="12"/>
  <c r="Q14" i="12"/>
  <c r="T14" i="12" s="1"/>
  <c r="X14" i="12" s="1"/>
  <c r="P14" i="12"/>
  <c r="O14" i="12"/>
  <c r="N14" i="12"/>
  <c r="L14" i="12"/>
  <c r="K14" i="12"/>
  <c r="I14" i="12"/>
  <c r="H14" i="12"/>
  <c r="G14" i="12"/>
  <c r="J14" i="12" s="1"/>
  <c r="AA13" i="12"/>
  <c r="Z13" i="12"/>
  <c r="U13" i="12"/>
  <c r="X13" i="12" s="1"/>
  <c r="S13" i="12"/>
  <c r="Q13" i="12"/>
  <c r="T13" i="12" s="1"/>
  <c r="P13" i="12"/>
  <c r="O13" i="12"/>
  <c r="N13" i="12"/>
  <c r="L13" i="12"/>
  <c r="K13" i="12"/>
  <c r="I13" i="12"/>
  <c r="H13" i="12"/>
  <c r="G13" i="12"/>
  <c r="AA12" i="12"/>
  <c r="AG12" i="12" s="1"/>
  <c r="Z12" i="12"/>
  <c r="U12" i="12"/>
  <c r="T12" i="12"/>
  <c r="X12" i="12" s="1"/>
  <c r="S12" i="12"/>
  <c r="Q12" i="12"/>
  <c r="P12" i="12"/>
  <c r="O12" i="12"/>
  <c r="N12" i="12"/>
  <c r="L12" i="12"/>
  <c r="K12" i="12"/>
  <c r="J12" i="12"/>
  <c r="I12" i="12"/>
  <c r="H12" i="12"/>
  <c r="G12" i="12"/>
  <c r="AA11" i="12"/>
  <c r="Z11" i="12"/>
  <c r="AD11" i="12" s="1"/>
  <c r="U11" i="12"/>
  <c r="S11" i="12"/>
  <c r="Q11" i="12"/>
  <c r="T11" i="12" s="1"/>
  <c r="X11" i="12" s="1"/>
  <c r="P11" i="12"/>
  <c r="P3" i="12" s="1"/>
  <c r="O11" i="12"/>
  <c r="N11" i="12"/>
  <c r="L11" i="12"/>
  <c r="K11" i="12"/>
  <c r="I11" i="12"/>
  <c r="H11" i="12"/>
  <c r="G11" i="12"/>
  <c r="G3" i="12" s="1"/>
  <c r="AA10" i="12"/>
  <c r="Z10" i="12"/>
  <c r="U10" i="12"/>
  <c r="X10" i="12" s="1"/>
  <c r="S10" i="12"/>
  <c r="Q10" i="12"/>
  <c r="T10" i="12" s="1"/>
  <c r="P10" i="12"/>
  <c r="O10" i="12"/>
  <c r="N10" i="12"/>
  <c r="L10" i="12"/>
  <c r="K10" i="12"/>
  <c r="I10" i="12"/>
  <c r="H10" i="12"/>
  <c r="G10" i="12"/>
  <c r="AW9" i="12"/>
  <c r="AU9" i="12"/>
  <c r="AA9" i="12"/>
  <c r="AG9" i="12" s="1"/>
  <c r="Z9" i="12"/>
  <c r="U9" i="12"/>
  <c r="S9" i="12"/>
  <c r="T9" i="12" s="1"/>
  <c r="X9" i="12" s="1"/>
  <c r="Q9" i="12"/>
  <c r="P9" i="12"/>
  <c r="O9" i="12"/>
  <c r="N9" i="12"/>
  <c r="L9" i="12"/>
  <c r="K9" i="12"/>
  <c r="I9" i="12"/>
  <c r="J9" i="12" s="1"/>
  <c r="H9" i="12"/>
  <c r="G9" i="12"/>
  <c r="AA8" i="12"/>
  <c r="AG8" i="12" s="1"/>
  <c r="Z8" i="12"/>
  <c r="U8" i="12"/>
  <c r="S8" i="12"/>
  <c r="T8" i="12" s="1"/>
  <c r="X8" i="12" s="1"/>
  <c r="Q8" i="12"/>
  <c r="P8" i="12"/>
  <c r="O8" i="12"/>
  <c r="N8" i="12"/>
  <c r="L8" i="12"/>
  <c r="K8" i="12"/>
  <c r="I8" i="12"/>
  <c r="H8" i="12"/>
  <c r="G8" i="12"/>
  <c r="J8" i="12" s="1"/>
  <c r="AA7" i="12"/>
  <c r="AG7" i="12" s="1"/>
  <c r="Z7" i="12"/>
  <c r="U7" i="12"/>
  <c r="S7" i="12"/>
  <c r="T7" i="12" s="1"/>
  <c r="X7" i="12" s="1"/>
  <c r="Q7" i="12"/>
  <c r="P7" i="12"/>
  <c r="O7" i="12"/>
  <c r="N7" i="12"/>
  <c r="L7" i="12"/>
  <c r="K7" i="12"/>
  <c r="I7" i="12"/>
  <c r="J7" i="12" s="1"/>
  <c r="H7" i="12"/>
  <c r="G7" i="12"/>
  <c r="AA6" i="12"/>
  <c r="AG6" i="12" s="1"/>
  <c r="Z6" i="12"/>
  <c r="AE6" i="12" s="1"/>
  <c r="U6" i="12"/>
  <c r="S6" i="12"/>
  <c r="T6" i="12" s="1"/>
  <c r="X6" i="12" s="1"/>
  <c r="Q6" i="12"/>
  <c r="P6" i="12"/>
  <c r="O6" i="12"/>
  <c r="N6" i="12"/>
  <c r="L6" i="12"/>
  <c r="K6" i="12"/>
  <c r="I6" i="12"/>
  <c r="J6" i="12" s="1"/>
  <c r="H6" i="12"/>
  <c r="G6" i="12"/>
  <c r="AA5" i="12"/>
  <c r="AG5" i="12" s="1"/>
  <c r="Z5" i="12"/>
  <c r="AF5" i="12" s="1"/>
  <c r="U5" i="12"/>
  <c r="S5" i="12"/>
  <c r="Q5" i="12"/>
  <c r="T5" i="12" s="1"/>
  <c r="P5" i="12"/>
  <c r="O5" i="12"/>
  <c r="N5" i="12"/>
  <c r="N3" i="12" s="1"/>
  <c r="L5" i="12"/>
  <c r="L3" i="12" s="1"/>
  <c r="K5" i="12"/>
  <c r="I5" i="12"/>
  <c r="I3" i="12" s="1"/>
  <c r="H5" i="12"/>
  <c r="J5" i="12" s="1"/>
  <c r="G5" i="12"/>
  <c r="AB3" i="12"/>
  <c r="Y3" i="12"/>
  <c r="W3" i="12"/>
  <c r="V3" i="12"/>
  <c r="R3" i="12"/>
  <c r="O3" i="12"/>
  <c r="M3" i="12"/>
  <c r="U2" i="12"/>
  <c r="D2" i="12"/>
  <c r="AD79" i="12" l="1"/>
  <c r="AF170" i="12"/>
  <c r="AE45" i="12"/>
  <c r="AF47" i="12"/>
  <c r="AC48" i="12"/>
  <c r="AD162" i="12"/>
  <c r="AD23" i="12"/>
  <c r="AG67" i="12"/>
  <c r="AE77" i="12"/>
  <c r="AF201" i="12"/>
  <c r="AD48" i="12"/>
  <c r="AD65" i="12"/>
  <c r="AC187" i="12"/>
  <c r="AC108" i="12"/>
  <c r="AC249" i="12"/>
  <c r="AC11" i="12"/>
  <c r="AE14" i="12"/>
  <c r="AC101" i="12"/>
  <c r="AD151" i="12"/>
  <c r="AE192" i="12"/>
  <c r="AD220" i="12"/>
  <c r="AC141" i="12"/>
  <c r="AD250" i="12"/>
  <c r="AF11" i="12"/>
  <c r="AE56" i="12"/>
  <c r="AC128" i="12"/>
  <c r="AG56" i="12"/>
  <c r="AD184" i="12"/>
  <c r="AE67" i="12"/>
  <c r="AE184" i="12"/>
  <c r="AD216" i="12"/>
  <c r="AD37" i="12"/>
  <c r="AD227" i="12"/>
  <c r="AD45" i="12"/>
  <c r="AE69" i="12"/>
  <c r="AE139" i="12"/>
  <c r="AD148" i="12"/>
  <c r="AC192" i="12"/>
  <c r="AD226" i="12"/>
  <c r="AG11" i="12"/>
  <c r="AC24" i="12"/>
  <c r="AF30" i="12"/>
  <c r="AD35" i="12"/>
  <c r="AE43" i="12"/>
  <c r="AE111" i="12"/>
  <c r="AF115" i="12"/>
  <c r="AD116" i="12"/>
  <c r="AC121" i="12"/>
  <c r="AE238" i="12"/>
  <c r="AE255" i="12"/>
  <c r="AG48" i="12"/>
  <c r="AE73" i="12"/>
  <c r="AC116" i="12"/>
  <c r="AE37" i="12"/>
  <c r="AE64" i="12"/>
  <c r="AD134" i="12"/>
  <c r="AF27" i="12"/>
  <c r="AD68" i="12"/>
  <c r="AC33" i="12"/>
  <c r="AD40" i="12"/>
  <c r="AD42" i="12"/>
  <c r="AF68" i="12"/>
  <c r="AC105" i="12"/>
  <c r="AC147" i="12"/>
  <c r="AE166" i="12"/>
  <c r="AD198" i="12"/>
  <c r="AE243" i="12"/>
  <c r="AE254" i="12"/>
  <c r="AD260" i="12"/>
  <c r="AC84" i="12"/>
  <c r="AD86" i="12"/>
  <c r="AE227" i="12"/>
  <c r="AC254" i="12"/>
  <c r="AC40" i="12"/>
  <c r="AD53" i="12"/>
  <c r="AE83" i="12"/>
  <c r="AD254" i="12"/>
  <c r="AC260" i="12"/>
  <c r="AC21" i="12"/>
  <c r="AG32" i="12"/>
  <c r="AF51" i="12"/>
  <c r="AG71" i="12"/>
  <c r="AE79" i="12"/>
  <c r="AF96" i="12"/>
  <c r="AE161" i="12"/>
  <c r="AF181" i="12"/>
  <c r="AG184" i="12"/>
  <c r="AE235" i="12"/>
  <c r="AD73" i="12"/>
  <c r="AD74" i="12"/>
  <c r="AF18" i="12"/>
  <c r="AF37" i="12"/>
  <c r="AE80" i="12"/>
  <c r="AE169" i="12"/>
  <c r="AD181" i="12"/>
  <c r="AC184" i="12"/>
  <c r="AD191" i="12"/>
  <c r="AF200" i="12"/>
  <c r="AD28" i="12"/>
  <c r="AD49" i="12"/>
  <c r="AC10" i="12"/>
  <c r="AF14" i="12"/>
  <c r="AG17" i="12"/>
  <c r="AC23" i="12"/>
  <c r="AD50" i="12"/>
  <c r="AC117" i="12"/>
  <c r="AC146" i="12"/>
  <c r="AG151" i="12"/>
  <c r="AG175" i="12"/>
  <c r="AC185" i="12"/>
  <c r="AD219" i="12"/>
  <c r="AF249" i="12"/>
  <c r="X5" i="12"/>
  <c r="AE225" i="12"/>
  <c r="AF225" i="12"/>
  <c r="AD225" i="12"/>
  <c r="AC225" i="12"/>
  <c r="H3" i="12"/>
  <c r="Q3" i="12"/>
  <c r="J10" i="12"/>
  <c r="J3" i="12" s="1"/>
  <c r="J1" i="12" s="1"/>
  <c r="J13" i="12"/>
  <c r="AE21" i="12"/>
  <c r="T26" i="12"/>
  <c r="X26" i="12" s="1"/>
  <c r="T36" i="12"/>
  <c r="X36" i="12" s="1"/>
  <c r="J44" i="12"/>
  <c r="AF46" i="12"/>
  <c r="AE53" i="12"/>
  <c r="AG70" i="12"/>
  <c r="J88" i="12"/>
  <c r="X89" i="12"/>
  <c r="J111" i="12"/>
  <c r="AG114" i="12"/>
  <c r="AE114" i="12"/>
  <c r="X119" i="12"/>
  <c r="T164" i="12"/>
  <c r="X164" i="12" s="1"/>
  <c r="AG206" i="12"/>
  <c r="AE206" i="12"/>
  <c r="AC206" i="12"/>
  <c r="AE12" i="12"/>
  <c r="AF12" i="12"/>
  <c r="AF70" i="12"/>
  <c r="AE5" i="12"/>
  <c r="J11" i="12"/>
  <c r="AD19" i="12"/>
  <c r="AG19" i="12"/>
  <c r="J21" i="12"/>
  <c r="J22" i="12"/>
  <c r="T22" i="12"/>
  <c r="X22" i="12" s="1"/>
  <c r="J26" i="12"/>
  <c r="AG30" i="12"/>
  <c r="T32" i="12"/>
  <c r="X32" i="12" s="1"/>
  <c r="J33" i="12"/>
  <c r="T33" i="12"/>
  <c r="X33" i="12" s="1"/>
  <c r="J36" i="12"/>
  <c r="J53" i="12"/>
  <c r="T54" i="12"/>
  <c r="X54" i="12" s="1"/>
  <c r="AF85" i="12"/>
  <c r="AD85" i="12"/>
  <c r="AF95" i="12"/>
  <c r="AE95" i="12"/>
  <c r="AE107" i="12"/>
  <c r="T115" i="12"/>
  <c r="X115" i="12" s="1"/>
  <c r="J139" i="12"/>
  <c r="X155" i="12"/>
  <c r="AF205" i="12"/>
  <c r="X205" i="12"/>
  <c r="AE71" i="12"/>
  <c r="AD71" i="12"/>
  <c r="AC71" i="12"/>
  <c r="AF71" i="12"/>
  <c r="AE7" i="12"/>
  <c r="AF7" i="12"/>
  <c r="AC7" i="12"/>
  <c r="AE51" i="12"/>
  <c r="AD99" i="12"/>
  <c r="AE99" i="12"/>
  <c r="AC99" i="12"/>
  <c r="AG107" i="12"/>
  <c r="AC107" i="12"/>
  <c r="AF155" i="12"/>
  <c r="AG155" i="12"/>
  <c r="AE25" i="12"/>
  <c r="AC25" i="12"/>
  <c r="AE34" i="12"/>
  <c r="AG34" i="12"/>
  <c r="AF69" i="12"/>
  <c r="AD69" i="12"/>
  <c r="AC5" i="12"/>
  <c r="AD5" i="12"/>
  <c r="AD120" i="12"/>
  <c r="AE120" i="12"/>
  <c r="AC120" i="12"/>
  <c r="U3" i="12"/>
  <c r="S3" i="12"/>
  <c r="AC9" i="12"/>
  <c r="AE11" i="12"/>
  <c r="AG16" i="12"/>
  <c r="AE16" i="12"/>
  <c r="J20" i="12"/>
  <c r="T31" i="12"/>
  <c r="X31" i="12" s="1"/>
  <c r="X34" i="12"/>
  <c r="AD36" i="12"/>
  <c r="AC36" i="12"/>
  <c r="AF38" i="12"/>
  <c r="AC38" i="12"/>
  <c r="X62" i="12"/>
  <c r="T68" i="12"/>
  <c r="X68" i="12" s="1"/>
  <c r="AE98" i="12"/>
  <c r="X101" i="12"/>
  <c r="T109" i="12"/>
  <c r="X109" i="12" s="1"/>
  <c r="AC179" i="12"/>
  <c r="AE179" i="12"/>
  <c r="AD179" i="12"/>
  <c r="AF208" i="12"/>
  <c r="X30" i="12"/>
  <c r="AE9" i="12"/>
  <c r="AC16" i="12"/>
  <c r="T52" i="12"/>
  <c r="X52" i="12" s="1"/>
  <c r="AE58" i="12"/>
  <c r="AF58" i="12"/>
  <c r="AE66" i="12"/>
  <c r="AF66" i="12"/>
  <c r="AC66" i="12"/>
  <c r="AF183" i="12"/>
  <c r="AE183" i="12"/>
  <c r="AD183" i="12"/>
  <c r="AC183" i="12"/>
  <c r="K3" i="12"/>
  <c r="AD14" i="12"/>
  <c r="AE15" i="12"/>
  <c r="J17" i="12"/>
  <c r="T17" i="12"/>
  <c r="X17" i="12" s="1"/>
  <c r="J29" i="12"/>
  <c r="AC34" i="12"/>
  <c r="AF34" i="12"/>
  <c r="AD34" i="12"/>
  <c r="AG41" i="12"/>
  <c r="J46" i="12"/>
  <c r="J52" i="12"/>
  <c r="AF54" i="12"/>
  <c r="AG57" i="12"/>
  <c r="X70" i="12"/>
  <c r="AD76" i="12"/>
  <c r="AF76" i="12"/>
  <c r="AE76" i="12"/>
  <c r="AF101" i="12"/>
  <c r="AG101" i="12"/>
  <c r="J120" i="12"/>
  <c r="AC131" i="12"/>
  <c r="AG174" i="12"/>
  <c r="AD174" i="12"/>
  <c r="AG230" i="12"/>
  <c r="AF230" i="12"/>
  <c r="X230" i="12"/>
  <c r="AF13" i="12"/>
  <c r="AE22" i="12"/>
  <c r="AE26" i="12"/>
  <c r="AF31" i="12"/>
  <c r="AD32" i="12"/>
  <c r="AE38" i="12"/>
  <c r="AF60" i="12"/>
  <c r="AF82" i="12"/>
  <c r="AD82" i="12"/>
  <c r="AF89" i="12"/>
  <c r="AD89" i="12"/>
  <c r="AF90" i="12"/>
  <c r="AD90" i="12"/>
  <c r="AC90" i="12"/>
  <c r="AG109" i="12"/>
  <c r="AF109" i="12"/>
  <c r="AD119" i="12"/>
  <c r="AF130" i="12"/>
  <c r="AD130" i="12"/>
  <c r="AF207" i="12"/>
  <c r="AD207" i="12"/>
  <c r="AG208" i="12"/>
  <c r="AG10" i="12"/>
  <c r="AG13" i="12"/>
  <c r="AD17" i="12"/>
  <c r="AG22" i="12"/>
  <c r="AG26" i="12"/>
  <c r="AG27" i="12"/>
  <c r="AG31" i="12"/>
  <c r="AE35" i="12"/>
  <c r="AG46" i="12"/>
  <c r="AE47" i="12"/>
  <c r="AG54" i="12"/>
  <c r="AE55" i="12"/>
  <c r="AD60" i="12"/>
  <c r="AF62" i="12"/>
  <c r="AD63" i="12"/>
  <c r="AC63" i="12"/>
  <c r="J81" i="12"/>
  <c r="AE88" i="12"/>
  <c r="X94" i="12"/>
  <c r="J105" i="12"/>
  <c r="J112" i="12"/>
  <c r="AG119" i="12"/>
  <c r="AE182" i="12"/>
  <c r="T191" i="12"/>
  <c r="X191" i="12" s="1"/>
  <c r="AF252" i="12"/>
  <c r="AE252" i="12"/>
  <c r="AD252" i="12"/>
  <c r="AC252" i="12"/>
  <c r="AF9" i="12"/>
  <c r="AF10" i="12"/>
  <c r="AD13" i="12"/>
  <c r="AG18" i="12"/>
  <c r="AF22" i="12"/>
  <c r="AG23" i="12"/>
  <c r="AE24" i="12"/>
  <c r="AE32" i="12"/>
  <c r="AG35" i="12"/>
  <c r="AG39" i="12"/>
  <c r="AG43" i="12"/>
  <c r="AG47" i="12"/>
  <c r="AF48" i="12"/>
  <c r="AG51" i="12"/>
  <c r="AG55" i="12"/>
  <c r="AF56" i="12"/>
  <c r="AG62" i="12"/>
  <c r="J72" i="12"/>
  <c r="T72" i="12"/>
  <c r="X72" i="12" s="1"/>
  <c r="J79" i="12"/>
  <c r="J92" i="12"/>
  <c r="T92" i="12"/>
  <c r="X92" i="12" s="1"/>
  <c r="AC93" i="12"/>
  <c r="J98" i="12"/>
  <c r="T98" i="12"/>
  <c r="X98" i="12" s="1"/>
  <c r="AG105" i="12"/>
  <c r="AD105" i="12"/>
  <c r="AG138" i="12"/>
  <c r="AD138" i="12"/>
  <c r="X140" i="12"/>
  <c r="X141" i="12"/>
  <c r="J191" i="12"/>
  <c r="AE193" i="12"/>
  <c r="J196" i="12"/>
  <c r="T196" i="12"/>
  <c r="X196" i="12" s="1"/>
  <c r="AD9" i="12"/>
  <c r="AG15" i="12"/>
  <c r="AF16" i="12"/>
  <c r="AG20" i="12"/>
  <c r="AD21" i="12"/>
  <c r="AD24" i="12"/>
  <c r="AC45" i="12"/>
  <c r="AC53" i="12"/>
  <c r="J65" i="12"/>
  <c r="T65" i="12"/>
  <c r="X65" i="12" s="1"/>
  <c r="J74" i="12"/>
  <c r="J78" i="12"/>
  <c r="T78" i="12"/>
  <c r="X78" i="12" s="1"/>
  <c r="AE82" i="12"/>
  <c r="J97" i="12"/>
  <c r="T97" i="12"/>
  <c r="X97" i="12" s="1"/>
  <c r="AC98" i="12"/>
  <c r="J117" i="12"/>
  <c r="J124" i="12"/>
  <c r="AE167" i="12"/>
  <c r="AG167" i="12"/>
  <c r="AE171" i="12"/>
  <c r="AD171" i="12"/>
  <c r="X208" i="12"/>
  <c r="J224" i="12"/>
  <c r="AG63" i="12"/>
  <c r="AE68" i="12"/>
  <c r="AG75" i="12"/>
  <c r="AG76" i="12"/>
  <c r="AF81" i="12"/>
  <c r="AG90" i="12"/>
  <c r="AF105" i="12"/>
  <c r="AG108" i="12"/>
  <c r="AG120" i="12"/>
  <c r="J138" i="12"/>
  <c r="AF163" i="12"/>
  <c r="AE163" i="12"/>
  <c r="AD163" i="12"/>
  <c r="AC163" i="12"/>
  <c r="AE181" i="12"/>
  <c r="AE189" i="12"/>
  <c r="AD190" i="12"/>
  <c r="AE205" i="12"/>
  <c r="X249" i="12"/>
  <c r="AF251" i="12"/>
  <c r="AE251" i="12"/>
  <c r="Q22" i="6"/>
  <c r="AG68" i="12"/>
  <c r="AG81" i="12"/>
  <c r="AF100" i="12"/>
  <c r="AE101" i="12"/>
  <c r="AF116" i="12"/>
  <c r="AE121" i="12"/>
  <c r="AD140" i="12"/>
  <c r="J152" i="12"/>
  <c r="AF154" i="12"/>
  <c r="AE155" i="12"/>
  <c r="J192" i="12"/>
  <c r="T192" i="12"/>
  <c r="X192" i="12" s="1"/>
  <c r="J198" i="12"/>
  <c r="AE203" i="12"/>
  <c r="AD203" i="12"/>
  <c r="AF221" i="12"/>
  <c r="J223" i="12"/>
  <c r="AD251" i="12"/>
  <c r="AG251" i="12"/>
  <c r="O23" i="6"/>
  <c r="AD100" i="12"/>
  <c r="AG116" i="12"/>
  <c r="AG121" i="12"/>
  <c r="AD122" i="12"/>
  <c r="AE128" i="12"/>
  <c r="AD128" i="12"/>
  <c r="AG140" i="12"/>
  <c r="J142" i="12"/>
  <c r="T142" i="12"/>
  <c r="X142" i="12" s="1"/>
  <c r="J165" i="12"/>
  <c r="X195" i="12"/>
  <c r="AG203" i="12"/>
  <c r="J212" i="12"/>
  <c r="AC220" i="12"/>
  <c r="AF232" i="12"/>
  <c r="AE232" i="12"/>
  <c r="AD232" i="12"/>
  <c r="AC232" i="12"/>
  <c r="R8" i="6"/>
  <c r="M31" i="6"/>
  <c r="AC87" i="12"/>
  <c r="AC88" i="12"/>
  <c r="AF123" i="12"/>
  <c r="AC123" i="12"/>
  <c r="AE153" i="12"/>
  <c r="AG153" i="12"/>
  <c r="AC159" i="12"/>
  <c r="AC167" i="12"/>
  <c r="X194" i="12"/>
  <c r="J197" i="12"/>
  <c r="T197" i="12"/>
  <c r="X197" i="12" s="1"/>
  <c r="AD202" i="12"/>
  <c r="J206" i="12"/>
  <c r="AF213" i="12"/>
  <c r="AE213" i="12"/>
  <c r="AD217" i="12"/>
  <c r="AC217" i="12"/>
  <c r="J222" i="12"/>
  <c r="T222" i="12"/>
  <c r="X222" i="12" s="1"/>
  <c r="B31" i="7"/>
  <c r="L9" i="6"/>
  <c r="AG240" i="12"/>
  <c r="AD240" i="12"/>
  <c r="R76" i="7"/>
  <c r="B76" i="7"/>
  <c r="K77" i="7" s="1"/>
  <c r="P74" i="7"/>
  <c r="V72" i="7"/>
  <c r="N72" i="7"/>
  <c r="T70" i="7"/>
  <c r="L70" i="7"/>
  <c r="R68" i="7"/>
  <c r="B68" i="7"/>
  <c r="P66" i="7"/>
  <c r="V64" i="7"/>
  <c r="N64" i="7"/>
  <c r="T62" i="7"/>
  <c r="L62" i="7"/>
  <c r="R60" i="7"/>
  <c r="B60" i="7"/>
  <c r="K61" i="7" s="1"/>
  <c r="P58" i="7"/>
  <c r="V56" i="7"/>
  <c r="N56" i="7"/>
  <c r="T54" i="7"/>
  <c r="L54" i="7"/>
  <c r="R52" i="7"/>
  <c r="B52" i="7"/>
  <c r="K53" i="7" s="1"/>
  <c r="P50" i="7"/>
  <c r="V48" i="7"/>
  <c r="N48" i="7"/>
  <c r="T46" i="7"/>
  <c r="L46" i="7"/>
  <c r="R44" i="7"/>
  <c r="Q76" i="7"/>
  <c r="W74" i="7"/>
  <c r="O74" i="7"/>
  <c r="U72" i="7"/>
  <c r="M72" i="7"/>
  <c r="S70" i="7"/>
  <c r="J70" i="7"/>
  <c r="Q68" i="7"/>
  <c r="W66" i="7"/>
  <c r="O66" i="7"/>
  <c r="U64" i="7"/>
  <c r="M64" i="7"/>
  <c r="S62" i="7"/>
  <c r="J62" i="7"/>
  <c r="Q60" i="7"/>
  <c r="W58" i="7"/>
  <c r="O58" i="7"/>
  <c r="U56" i="7"/>
  <c r="M56" i="7"/>
  <c r="S54" i="7"/>
  <c r="J54" i="7"/>
  <c r="Q52" i="7"/>
  <c r="W50" i="7"/>
  <c r="O50" i="7"/>
  <c r="U48" i="7"/>
  <c r="M48" i="7"/>
  <c r="S46" i="7"/>
  <c r="J46" i="7"/>
  <c r="Q44" i="7"/>
  <c r="W42" i="7"/>
  <c r="O42" i="7"/>
  <c r="U40" i="7"/>
  <c r="M40" i="7"/>
  <c r="W34" i="7"/>
  <c r="O34" i="7"/>
  <c r="Q28" i="7"/>
  <c r="W26" i="7"/>
  <c r="O26" i="7"/>
  <c r="U24" i="7"/>
  <c r="M24" i="7"/>
  <c r="S22" i="7"/>
  <c r="J22" i="7"/>
  <c r="Q20" i="7"/>
  <c r="W18" i="7"/>
  <c r="O18" i="7"/>
  <c r="Q16" i="7"/>
  <c r="W14" i="7"/>
  <c r="O14" i="7"/>
  <c r="U12" i="7"/>
  <c r="M12" i="7"/>
  <c r="S10" i="7"/>
  <c r="J10" i="7"/>
  <c r="Q8" i="7"/>
  <c r="U2" i="7"/>
  <c r="M2" i="7"/>
  <c r="R33" i="6"/>
  <c r="B33" i="6"/>
  <c r="F33" i="6" s="1"/>
  <c r="H33" i="6" s="1"/>
  <c r="P32" i="6"/>
  <c r="V31" i="6"/>
  <c r="N31" i="6"/>
  <c r="T30" i="6"/>
  <c r="L30" i="6"/>
  <c r="R29" i="6"/>
  <c r="B29" i="6"/>
  <c r="F29" i="6" s="1"/>
  <c r="H29" i="6" s="1"/>
  <c r="P28" i="6"/>
  <c r="V27" i="6"/>
  <c r="N27" i="6"/>
  <c r="T26" i="6"/>
  <c r="L26" i="6"/>
  <c r="R25" i="6"/>
  <c r="B25" i="6"/>
  <c r="F25" i="6" s="1"/>
  <c r="H25" i="6" s="1"/>
  <c r="P24" i="6"/>
  <c r="V23" i="6"/>
  <c r="N23" i="6"/>
  <c r="T22" i="6"/>
  <c r="L22" i="6"/>
  <c r="R21" i="6"/>
  <c r="P76" i="7"/>
  <c r="V74" i="7"/>
  <c r="N74" i="7"/>
  <c r="T72" i="7"/>
  <c r="L72" i="7"/>
  <c r="R70" i="7"/>
  <c r="B70" i="7"/>
  <c r="K71" i="7" s="1"/>
  <c r="P68" i="7"/>
  <c r="V66" i="7"/>
  <c r="N66" i="7"/>
  <c r="T64" i="7"/>
  <c r="L64" i="7"/>
  <c r="R62" i="7"/>
  <c r="B62" i="7"/>
  <c r="F62" i="7" s="1"/>
  <c r="H62" i="7" s="1"/>
  <c r="P60" i="7"/>
  <c r="V58" i="7"/>
  <c r="N58" i="7"/>
  <c r="T56" i="7"/>
  <c r="L56" i="7"/>
  <c r="R54" i="7"/>
  <c r="B54" i="7"/>
  <c r="P52" i="7"/>
  <c r="V50" i="7"/>
  <c r="N50" i="7"/>
  <c r="T48" i="7"/>
  <c r="L48" i="7"/>
  <c r="R46" i="7"/>
  <c r="B46" i="7"/>
  <c r="F46" i="7" s="1"/>
  <c r="H46" i="7" s="1"/>
  <c r="P44" i="7"/>
  <c r="V42" i="7"/>
  <c r="N42" i="7"/>
  <c r="T40" i="7"/>
  <c r="L40" i="7"/>
  <c r="V34" i="7"/>
  <c r="N34" i="7"/>
  <c r="P28" i="7"/>
  <c r="V26" i="7"/>
  <c r="N26" i="7"/>
  <c r="T24" i="7"/>
  <c r="L24" i="7"/>
  <c r="R22" i="7"/>
  <c r="B22" i="7"/>
  <c r="F22" i="7" s="1"/>
  <c r="H22" i="7" s="1"/>
  <c r="P20" i="7"/>
  <c r="V18" i="7"/>
  <c r="N18" i="7"/>
  <c r="B18" i="7"/>
  <c r="K19" i="7" s="1"/>
  <c r="P16" i="7"/>
  <c r="V14" i="7"/>
  <c r="N14" i="7"/>
  <c r="T12" i="7"/>
  <c r="W76" i="7"/>
  <c r="O76" i="7"/>
  <c r="U74" i="7"/>
  <c r="V76" i="7"/>
  <c r="N76" i="7"/>
  <c r="T74" i="7"/>
  <c r="L74" i="7"/>
  <c r="R72" i="7"/>
  <c r="B72" i="7"/>
  <c r="P70" i="7"/>
  <c r="V68" i="7"/>
  <c r="N68" i="7"/>
  <c r="T66" i="7"/>
  <c r="L66" i="7"/>
  <c r="R64" i="7"/>
  <c r="B64" i="7"/>
  <c r="P62" i="7"/>
  <c r="V60" i="7"/>
  <c r="N60" i="7"/>
  <c r="T58" i="7"/>
  <c r="L58" i="7"/>
  <c r="R56" i="7"/>
  <c r="B56" i="7"/>
  <c r="F56" i="7" s="1"/>
  <c r="H56" i="7" s="1"/>
  <c r="P54" i="7"/>
  <c r="V52" i="7"/>
  <c r="N52" i="7"/>
  <c r="T50" i="7"/>
  <c r="L50" i="7"/>
  <c r="R48" i="7"/>
  <c r="B48" i="7"/>
  <c r="F48" i="7" s="1"/>
  <c r="H48" i="7" s="1"/>
  <c r="P46" i="7"/>
  <c r="V44" i="7"/>
  <c r="N44" i="7"/>
  <c r="T42" i="7"/>
  <c r="L42" i="7"/>
  <c r="R40" i="7"/>
  <c r="B40" i="7"/>
  <c r="T34" i="7"/>
  <c r="L34" i="7"/>
  <c r="V28" i="7"/>
  <c r="N28" i="7"/>
  <c r="T26" i="7"/>
  <c r="L26" i="7"/>
  <c r="R24" i="7"/>
  <c r="B24" i="7"/>
  <c r="K25" i="7" s="1"/>
  <c r="P22" i="7"/>
  <c r="V20" i="7"/>
  <c r="N20" i="7"/>
  <c r="T18" i="7"/>
  <c r="L18" i="7"/>
  <c r="V16" i="7"/>
  <c r="N16" i="7"/>
  <c r="T14" i="7"/>
  <c r="L14" i="7"/>
  <c r="R12" i="7"/>
  <c r="B12" i="7"/>
  <c r="K13" i="7" s="1"/>
  <c r="P10" i="7"/>
  <c r="V8" i="7"/>
  <c r="N8" i="7"/>
  <c r="R2" i="7"/>
  <c r="B2" i="7"/>
  <c r="K3" i="7" s="1"/>
  <c r="W33" i="6"/>
  <c r="O33" i="6"/>
  <c r="U32" i="6"/>
  <c r="M32" i="6"/>
  <c r="S31" i="6"/>
  <c r="J31" i="6"/>
  <c r="Q30" i="6"/>
  <c r="W29" i="6"/>
  <c r="O29" i="6"/>
  <c r="U28" i="6"/>
  <c r="M28" i="6"/>
  <c r="S27" i="6"/>
  <c r="J27" i="6"/>
  <c r="Q26" i="6"/>
  <c r="W25" i="6"/>
  <c r="O25" i="6"/>
  <c r="U24" i="6"/>
  <c r="M24" i="6"/>
  <c r="U76" i="7"/>
  <c r="M76" i="7"/>
  <c r="S74" i="7"/>
  <c r="J74" i="7"/>
  <c r="Q72" i="7"/>
  <c r="W70" i="7"/>
  <c r="W71" i="7" s="1"/>
  <c r="O70" i="7"/>
  <c r="U68" i="7"/>
  <c r="M68" i="7"/>
  <c r="S66" i="7"/>
  <c r="J66" i="7"/>
  <c r="Q64" i="7"/>
  <c r="W62" i="7"/>
  <c r="O62" i="7"/>
  <c r="U60" i="7"/>
  <c r="M60" i="7"/>
  <c r="S58" i="7"/>
  <c r="J58" i="7"/>
  <c r="Q56" i="7"/>
  <c r="W54" i="7"/>
  <c r="W55" i="7" s="1"/>
  <c r="O54" i="7"/>
  <c r="U52" i="7"/>
  <c r="M52" i="7"/>
  <c r="S50" i="7"/>
  <c r="J50" i="7"/>
  <c r="Q48" i="7"/>
  <c r="W46" i="7"/>
  <c r="W47" i="7" s="1"/>
  <c r="O46" i="7"/>
  <c r="U44" i="7"/>
  <c r="M44" i="7"/>
  <c r="S42" i="7"/>
  <c r="J42" i="7"/>
  <c r="Q40" i="7"/>
  <c r="S34" i="7"/>
  <c r="J34" i="7"/>
  <c r="U28" i="7"/>
  <c r="M28" i="7"/>
  <c r="S26" i="7"/>
  <c r="J26" i="7"/>
  <c r="Q24" i="7"/>
  <c r="W22" i="7"/>
  <c r="W23" i="7" s="1"/>
  <c r="O22" i="7"/>
  <c r="U20" i="7"/>
  <c r="M20" i="7"/>
  <c r="S18" i="7"/>
  <c r="J18" i="7"/>
  <c r="U16" i="7"/>
  <c r="M16" i="7"/>
  <c r="S14" i="7"/>
  <c r="J14" i="7"/>
  <c r="T76" i="7"/>
  <c r="L76" i="7"/>
  <c r="R74" i="7"/>
  <c r="B74" i="7"/>
  <c r="K75" i="7" s="1"/>
  <c r="P72" i="7"/>
  <c r="V70" i="7"/>
  <c r="N70" i="7"/>
  <c r="T68" i="7"/>
  <c r="L68" i="7"/>
  <c r="R66" i="7"/>
  <c r="B66" i="7"/>
  <c r="P64" i="7"/>
  <c r="V62" i="7"/>
  <c r="N62" i="7"/>
  <c r="T60" i="7"/>
  <c r="L60" i="7"/>
  <c r="R58" i="7"/>
  <c r="B58" i="7"/>
  <c r="K59" i="7" s="1"/>
  <c r="P56" i="7"/>
  <c r="V54" i="7"/>
  <c r="N54" i="7"/>
  <c r="T52" i="7"/>
  <c r="L52" i="7"/>
  <c r="R50" i="7"/>
  <c r="B50" i="7"/>
  <c r="K51" i="7" s="1"/>
  <c r="P48" i="7"/>
  <c r="V46" i="7"/>
  <c r="N46" i="7"/>
  <c r="T44" i="7"/>
  <c r="L44" i="7"/>
  <c r="R42" i="7"/>
  <c r="B42" i="7"/>
  <c r="E42" i="7" s="1"/>
  <c r="G42" i="7" s="1"/>
  <c r="P40" i="7"/>
  <c r="R34" i="7"/>
  <c r="B34" i="7"/>
  <c r="K35" i="7" s="1"/>
  <c r="T28" i="7"/>
  <c r="L28" i="7"/>
  <c r="R26" i="7"/>
  <c r="B26" i="7"/>
  <c r="E26" i="7" s="1"/>
  <c r="G26" i="7" s="1"/>
  <c r="P24" i="7"/>
  <c r="V22" i="7"/>
  <c r="N22" i="7"/>
  <c r="T20" i="7"/>
  <c r="L20" i="7"/>
  <c r="R18" i="7"/>
  <c r="T16" i="7"/>
  <c r="L16" i="7"/>
  <c r="R14" i="7"/>
  <c r="B14" i="7"/>
  <c r="K15" i="7" s="1"/>
  <c r="P12" i="7"/>
  <c r="V10" i="7"/>
  <c r="N10" i="7"/>
  <c r="T8" i="7"/>
  <c r="L8" i="7"/>
  <c r="P2" i="7"/>
  <c r="U33" i="6"/>
  <c r="M33" i="6"/>
  <c r="S32" i="6"/>
  <c r="J32" i="6"/>
  <c r="Q31" i="6"/>
  <c r="W30" i="6"/>
  <c r="O30" i="6"/>
  <c r="U29" i="6"/>
  <c r="M29" i="6"/>
  <c r="S28" i="6"/>
  <c r="J28" i="6"/>
  <c r="Q27" i="6"/>
  <c r="W26" i="6"/>
  <c r="O26" i="6"/>
  <c r="U25" i="6"/>
  <c r="M25" i="6"/>
  <c r="S24" i="6"/>
  <c r="J24" i="6"/>
  <c r="Q23" i="6"/>
  <c r="W22" i="6"/>
  <c r="O22" i="6"/>
  <c r="S76" i="7"/>
  <c r="J76" i="7"/>
  <c r="Q74" i="7"/>
  <c r="W72" i="7"/>
  <c r="O72" i="7"/>
  <c r="U70" i="7"/>
  <c r="M70" i="7"/>
  <c r="S68" i="7"/>
  <c r="S69" i="7" s="1"/>
  <c r="J68" i="7"/>
  <c r="Q66" i="7"/>
  <c r="W64" i="7"/>
  <c r="O64" i="7"/>
  <c r="U62" i="7"/>
  <c r="M62" i="7"/>
  <c r="S60" i="7"/>
  <c r="J60" i="7"/>
  <c r="Q58" i="7"/>
  <c r="W56" i="7"/>
  <c r="W57" i="7" s="1"/>
  <c r="O56" i="7"/>
  <c r="U54" i="7"/>
  <c r="M54" i="7"/>
  <c r="S52" i="7"/>
  <c r="S53" i="7" s="1"/>
  <c r="J52" i="7"/>
  <c r="Q50" i="7"/>
  <c r="W48" i="7"/>
  <c r="W49" i="7" s="1"/>
  <c r="O48" i="7"/>
  <c r="U46" i="7"/>
  <c r="M46" i="7"/>
  <c r="S44" i="7"/>
  <c r="J44" i="7"/>
  <c r="Q42" i="7"/>
  <c r="W40" i="7"/>
  <c r="O40" i="7"/>
  <c r="Q34" i="7"/>
  <c r="S28" i="7"/>
  <c r="J28" i="7"/>
  <c r="Q26" i="7"/>
  <c r="W24" i="7"/>
  <c r="O24" i="7"/>
  <c r="U22" i="7"/>
  <c r="M22" i="7"/>
  <c r="S20" i="7"/>
  <c r="J20" i="7"/>
  <c r="Q18" i="7"/>
  <c r="S16" i="7"/>
  <c r="J16" i="7"/>
  <c r="Q14" i="7"/>
  <c r="W12" i="7"/>
  <c r="O12" i="7"/>
  <c r="U10" i="7"/>
  <c r="M10" i="7"/>
  <c r="S8" i="7"/>
  <c r="J8" i="7"/>
  <c r="W2" i="7"/>
  <c r="O2" i="7"/>
  <c r="T33" i="6"/>
  <c r="L33" i="6"/>
  <c r="R32" i="6"/>
  <c r="B32" i="6"/>
  <c r="F32" i="6" s="1"/>
  <c r="H32" i="6" s="1"/>
  <c r="P31" i="6"/>
  <c r="V30" i="6"/>
  <c r="N30" i="6"/>
  <c r="T29" i="6"/>
  <c r="L29" i="6"/>
  <c r="R28" i="6"/>
  <c r="B28" i="6"/>
  <c r="F28" i="6" s="1"/>
  <c r="H28" i="6" s="1"/>
  <c r="P27" i="6"/>
  <c r="V26" i="6"/>
  <c r="N26" i="6"/>
  <c r="T25" i="6"/>
  <c r="L25" i="6"/>
  <c r="R24" i="6"/>
  <c r="B24" i="6"/>
  <c r="F24" i="6" s="1"/>
  <c r="H24" i="6" s="1"/>
  <c r="P23" i="6"/>
  <c r="V22" i="6"/>
  <c r="J72" i="7"/>
  <c r="Q62" i="7"/>
  <c r="W52" i="7"/>
  <c r="W53" i="7" s="1"/>
  <c r="O44" i="7"/>
  <c r="J40" i="7"/>
  <c r="M34" i="7"/>
  <c r="O28" i="7"/>
  <c r="O31" i="7" s="1"/>
  <c r="J24" i="7"/>
  <c r="U18" i="7"/>
  <c r="B16" i="7"/>
  <c r="L12" i="7"/>
  <c r="B10" i="7"/>
  <c r="T2" i="7"/>
  <c r="T3" i="7" s="1"/>
  <c r="P33" i="6"/>
  <c r="N32" i="6"/>
  <c r="L31" i="6"/>
  <c r="B30" i="6"/>
  <c r="F30" i="6" s="1"/>
  <c r="H30" i="6" s="1"/>
  <c r="V28" i="6"/>
  <c r="T27" i="6"/>
  <c r="R26" i="6"/>
  <c r="P25" i="6"/>
  <c r="N24" i="6"/>
  <c r="M23" i="6"/>
  <c r="P22" i="6"/>
  <c r="T21" i="6"/>
  <c r="J21" i="6"/>
  <c r="Q20" i="6"/>
  <c r="W19" i="6"/>
  <c r="O19" i="6"/>
  <c r="U18" i="6"/>
  <c r="M18" i="6"/>
  <c r="S17" i="6"/>
  <c r="J17" i="6"/>
  <c r="Q16" i="6"/>
  <c r="W15" i="6"/>
  <c r="O15" i="6"/>
  <c r="U14" i="6"/>
  <c r="M14" i="6"/>
  <c r="S13" i="6"/>
  <c r="J13" i="6"/>
  <c r="Q12" i="6"/>
  <c r="W11" i="6"/>
  <c r="O11" i="6"/>
  <c r="U10" i="6"/>
  <c r="M10" i="6"/>
  <c r="S9" i="6"/>
  <c r="J9" i="6"/>
  <c r="Q8" i="6"/>
  <c r="S7" i="6"/>
  <c r="J7" i="6"/>
  <c r="Q6" i="6"/>
  <c r="W5" i="6"/>
  <c r="O5" i="6"/>
  <c r="U4" i="6"/>
  <c r="M4" i="6"/>
  <c r="S3" i="6"/>
  <c r="J3" i="6"/>
  <c r="Q2" i="6"/>
  <c r="Q70" i="7"/>
  <c r="W60" i="7"/>
  <c r="O52" i="7"/>
  <c r="B44" i="7"/>
  <c r="F44" i="7" s="1"/>
  <c r="H44" i="7" s="1"/>
  <c r="B28" i="7"/>
  <c r="E28" i="7" s="1"/>
  <c r="G28" i="7" s="1"/>
  <c r="T22" i="7"/>
  <c r="T23" i="7" s="1"/>
  <c r="P18" i="7"/>
  <c r="U14" i="7"/>
  <c r="U15" i="7" s="1"/>
  <c r="J12" i="7"/>
  <c r="W8" i="7"/>
  <c r="S2" i="7"/>
  <c r="S3" i="7" s="1"/>
  <c r="N33" i="6"/>
  <c r="L32" i="6"/>
  <c r="B31" i="6"/>
  <c r="V29" i="6"/>
  <c r="T28" i="6"/>
  <c r="R27" i="6"/>
  <c r="P26" i="6"/>
  <c r="N25" i="6"/>
  <c r="L24" i="6"/>
  <c r="L23" i="6"/>
  <c r="N22" i="6"/>
  <c r="S21" i="6"/>
  <c r="B21" i="6"/>
  <c r="E21" i="6" s="1"/>
  <c r="G21" i="6" s="1"/>
  <c r="P20" i="6"/>
  <c r="V19" i="6"/>
  <c r="N19" i="6"/>
  <c r="T18" i="6"/>
  <c r="L18" i="6"/>
  <c r="R17" i="6"/>
  <c r="B17" i="6"/>
  <c r="F17" i="6" s="1"/>
  <c r="H17" i="6" s="1"/>
  <c r="P16" i="6"/>
  <c r="V15" i="6"/>
  <c r="N15" i="6"/>
  <c r="T14" i="6"/>
  <c r="L14" i="6"/>
  <c r="R13" i="6"/>
  <c r="B13" i="6"/>
  <c r="E13" i="6" s="1"/>
  <c r="G13" i="6" s="1"/>
  <c r="P12" i="6"/>
  <c r="V11" i="6"/>
  <c r="N11" i="6"/>
  <c r="T10" i="6"/>
  <c r="L10" i="6"/>
  <c r="R9" i="6"/>
  <c r="B9" i="6"/>
  <c r="F9" i="6" s="1"/>
  <c r="H9" i="6" s="1"/>
  <c r="P8" i="6"/>
  <c r="R7" i="6"/>
  <c r="B7" i="6"/>
  <c r="F7" i="6" s="1"/>
  <c r="H7" i="6" s="1"/>
  <c r="P6" i="6"/>
  <c r="V5" i="6"/>
  <c r="N5" i="6"/>
  <c r="T4" i="6"/>
  <c r="L4" i="6"/>
  <c r="R3" i="6"/>
  <c r="B3" i="6"/>
  <c r="F3" i="6" s="1"/>
  <c r="H3" i="6" s="1"/>
  <c r="P2" i="6"/>
  <c r="W68" i="7"/>
  <c r="O60" i="7"/>
  <c r="U50" i="7"/>
  <c r="U42" i="7"/>
  <c r="U26" i="7"/>
  <c r="Q22" i="7"/>
  <c r="Q23" i="7" s="1"/>
  <c r="M18" i="7"/>
  <c r="P14" i="7"/>
  <c r="P15" i="7" s="1"/>
  <c r="W10" i="7"/>
  <c r="U8" i="7"/>
  <c r="Q2" i="7"/>
  <c r="Q3" i="7" s="1"/>
  <c r="J33" i="6"/>
  <c r="W31" i="6"/>
  <c r="U30" i="6"/>
  <c r="S29" i="6"/>
  <c r="Q28" i="6"/>
  <c r="O27" i="6"/>
  <c r="M26" i="6"/>
  <c r="J25" i="6"/>
  <c r="W23" i="6"/>
  <c r="J23" i="6"/>
  <c r="M22" i="6"/>
  <c r="Q21" i="6"/>
  <c r="W20" i="6"/>
  <c r="O20" i="6"/>
  <c r="U19" i="6"/>
  <c r="M19" i="6"/>
  <c r="S18" i="6"/>
  <c r="J18" i="6"/>
  <c r="Q17" i="6"/>
  <c r="W16" i="6"/>
  <c r="O16" i="6"/>
  <c r="U15" i="6"/>
  <c r="M15" i="6"/>
  <c r="S14" i="6"/>
  <c r="J14" i="6"/>
  <c r="Q13" i="6"/>
  <c r="W12" i="6"/>
  <c r="O12" i="6"/>
  <c r="U11" i="6"/>
  <c r="M11" i="6"/>
  <c r="S10" i="6"/>
  <c r="J10" i="6"/>
  <c r="Q9" i="6"/>
  <c r="W8" i="6"/>
  <c r="O8" i="6"/>
  <c r="Q7" i="6"/>
  <c r="W6" i="6"/>
  <c r="O6" i="6"/>
  <c r="U5" i="6"/>
  <c r="M5" i="6"/>
  <c r="S4" i="6"/>
  <c r="J4" i="6"/>
  <c r="Q3" i="6"/>
  <c r="W2" i="6"/>
  <c r="O2" i="6"/>
  <c r="O68" i="7"/>
  <c r="U58" i="7"/>
  <c r="M50" i="7"/>
  <c r="P42" i="7"/>
  <c r="P26" i="7"/>
  <c r="L22" i="7"/>
  <c r="L23" i="7" s="1"/>
  <c r="M14" i="7"/>
  <c r="T10" i="7"/>
  <c r="R8" i="7"/>
  <c r="N2" i="7"/>
  <c r="W32" i="6"/>
  <c r="U31" i="6"/>
  <c r="S30" i="6"/>
  <c r="Q29" i="6"/>
  <c r="O28" i="6"/>
  <c r="M27" i="6"/>
  <c r="J26" i="6"/>
  <c r="W24" i="6"/>
  <c r="U23" i="6"/>
  <c r="B23" i="6"/>
  <c r="F23" i="6" s="1"/>
  <c r="H23" i="6" s="1"/>
  <c r="J22" i="6"/>
  <c r="P21" i="6"/>
  <c r="V20" i="6"/>
  <c r="N20" i="6"/>
  <c r="T19" i="6"/>
  <c r="L19" i="6"/>
  <c r="R18" i="6"/>
  <c r="B18" i="6"/>
  <c r="F18" i="6" s="1"/>
  <c r="H18" i="6" s="1"/>
  <c r="P17" i="6"/>
  <c r="V16" i="6"/>
  <c r="N16" i="6"/>
  <c r="T15" i="6"/>
  <c r="L15" i="6"/>
  <c r="R14" i="6"/>
  <c r="B14" i="6"/>
  <c r="E14" i="6" s="1"/>
  <c r="G14" i="6" s="1"/>
  <c r="P13" i="6"/>
  <c r="V12" i="6"/>
  <c r="N12" i="6"/>
  <c r="T11" i="6"/>
  <c r="L11" i="6"/>
  <c r="R10" i="6"/>
  <c r="B10" i="6"/>
  <c r="F10" i="6" s="1"/>
  <c r="H10" i="6" s="1"/>
  <c r="P9" i="6"/>
  <c r="V8" i="6"/>
  <c r="N8" i="6"/>
  <c r="B8" i="6"/>
  <c r="P7" i="6"/>
  <c r="V6" i="6"/>
  <c r="N6" i="6"/>
  <c r="T5" i="6"/>
  <c r="L5" i="6"/>
  <c r="R4" i="6"/>
  <c r="B4" i="6"/>
  <c r="F4" i="6" s="1"/>
  <c r="H4" i="6" s="1"/>
  <c r="P3" i="6"/>
  <c r="V2" i="6"/>
  <c r="N2" i="6"/>
  <c r="U66" i="7"/>
  <c r="M58" i="7"/>
  <c r="S48" i="7"/>
  <c r="M42" i="7"/>
  <c r="M26" i="7"/>
  <c r="W20" i="7"/>
  <c r="V12" i="7"/>
  <c r="R10" i="7"/>
  <c r="P8" i="7"/>
  <c r="L2" i="7"/>
  <c r="V32" i="6"/>
  <c r="T31" i="6"/>
  <c r="R30" i="6"/>
  <c r="P29" i="6"/>
  <c r="N28" i="6"/>
  <c r="L27" i="6"/>
  <c r="B26" i="6"/>
  <c r="F26" i="6" s="1"/>
  <c r="H26" i="6" s="1"/>
  <c r="V24" i="6"/>
  <c r="T23" i="6"/>
  <c r="U22" i="6"/>
  <c r="B22" i="6"/>
  <c r="F22" i="6" s="1"/>
  <c r="H22" i="6" s="1"/>
  <c r="O21" i="6"/>
  <c r="U20" i="6"/>
  <c r="M20" i="6"/>
  <c r="S19" i="6"/>
  <c r="J19" i="6"/>
  <c r="Q18" i="6"/>
  <c r="W17" i="6"/>
  <c r="O17" i="6"/>
  <c r="U16" i="6"/>
  <c r="M16" i="6"/>
  <c r="S15" i="6"/>
  <c r="J15" i="6"/>
  <c r="Q14" i="6"/>
  <c r="W13" i="6"/>
  <c r="O13" i="6"/>
  <c r="U12" i="6"/>
  <c r="M12" i="6"/>
  <c r="S11" i="6"/>
  <c r="J11" i="6"/>
  <c r="Q10" i="6"/>
  <c r="W9" i="6"/>
  <c r="O9" i="6"/>
  <c r="U8" i="6"/>
  <c r="M8" i="6"/>
  <c r="W7" i="6"/>
  <c r="O7" i="6"/>
  <c r="U6" i="6"/>
  <c r="M6" i="6"/>
  <c r="S5" i="6"/>
  <c r="J5" i="6"/>
  <c r="Q4" i="6"/>
  <c r="W3" i="6"/>
  <c r="O3" i="6"/>
  <c r="U2" i="6"/>
  <c r="M2" i="6"/>
  <c r="M66" i="7"/>
  <c r="S56" i="7"/>
  <c r="J48" i="7"/>
  <c r="V40" i="7"/>
  <c r="V24" i="7"/>
  <c r="R20" i="7"/>
  <c r="W16" i="7"/>
  <c r="S12" i="7"/>
  <c r="Q10" i="7"/>
  <c r="O8" i="7"/>
  <c r="J2" i="7"/>
  <c r="J3" i="7" s="1"/>
  <c r="V33" i="6"/>
  <c r="T32" i="6"/>
  <c r="R31" i="6"/>
  <c r="P30" i="6"/>
  <c r="N29" i="6"/>
  <c r="L28" i="6"/>
  <c r="B27" i="6"/>
  <c r="V25" i="6"/>
  <c r="T24" i="6"/>
  <c r="S23" i="6"/>
  <c r="S22" i="6"/>
  <c r="W21" i="6"/>
  <c r="N21" i="6"/>
  <c r="T20" i="6"/>
  <c r="L20" i="6"/>
  <c r="R19" i="6"/>
  <c r="B19" i="6"/>
  <c r="F19" i="6" s="1"/>
  <c r="H19" i="6" s="1"/>
  <c r="P18" i="6"/>
  <c r="V17" i="6"/>
  <c r="N17" i="6"/>
  <c r="T16" i="6"/>
  <c r="L16" i="6"/>
  <c r="R15" i="6"/>
  <c r="B15" i="6"/>
  <c r="E15" i="6" s="1"/>
  <c r="G15" i="6" s="1"/>
  <c r="P14" i="6"/>
  <c r="V13" i="6"/>
  <c r="N13" i="6"/>
  <c r="T12" i="6"/>
  <c r="L12" i="6"/>
  <c r="R11" i="6"/>
  <c r="B11" i="6"/>
  <c r="E11" i="6" s="1"/>
  <c r="G11" i="6" s="1"/>
  <c r="P10" i="6"/>
  <c r="V9" i="6"/>
  <c r="N9" i="6"/>
  <c r="T8" i="6"/>
  <c r="L8" i="6"/>
  <c r="V7" i="6"/>
  <c r="N7" i="6"/>
  <c r="T6" i="6"/>
  <c r="L6" i="6"/>
  <c r="R5" i="6"/>
  <c r="B5" i="6"/>
  <c r="F5" i="6" s="1"/>
  <c r="H5" i="6" s="1"/>
  <c r="P4" i="6"/>
  <c r="V3" i="6"/>
  <c r="N3" i="6"/>
  <c r="T2" i="6"/>
  <c r="L2" i="6"/>
  <c r="M74" i="7"/>
  <c r="S64" i="7"/>
  <c r="J56" i="7"/>
  <c r="J57" i="7" s="1"/>
  <c r="Q46" i="7"/>
  <c r="S40" i="7"/>
  <c r="U34" i="7"/>
  <c r="W28" i="7"/>
  <c r="S24" i="7"/>
  <c r="O20" i="7"/>
  <c r="R16" i="7"/>
  <c r="Q12" i="7"/>
  <c r="O10" i="7"/>
  <c r="M8" i="7"/>
  <c r="S33" i="6"/>
  <c r="Q32" i="6"/>
  <c r="O31" i="6"/>
  <c r="M30" i="6"/>
  <c r="J29" i="6"/>
  <c r="W27" i="6"/>
  <c r="U26" i="6"/>
  <c r="S25" i="6"/>
  <c r="Q24" i="6"/>
  <c r="R23" i="6"/>
  <c r="R22" i="6"/>
  <c r="V21" i="6"/>
  <c r="M21" i="6"/>
  <c r="S20" i="6"/>
  <c r="J20" i="6"/>
  <c r="Q19" i="6"/>
  <c r="W18" i="6"/>
  <c r="O18" i="6"/>
  <c r="U17" i="6"/>
  <c r="M17" i="6"/>
  <c r="S16" i="6"/>
  <c r="J16" i="6"/>
  <c r="Q15" i="6"/>
  <c r="W14" i="6"/>
  <c r="O14" i="6"/>
  <c r="U13" i="6"/>
  <c r="M13" i="6"/>
  <c r="S12" i="6"/>
  <c r="J12" i="6"/>
  <c r="Q11" i="6"/>
  <c r="W10" i="6"/>
  <c r="O10" i="6"/>
  <c r="U9" i="6"/>
  <c r="M9" i="6"/>
  <c r="S8" i="6"/>
  <c r="J8" i="6"/>
  <c r="U7" i="6"/>
  <c r="M7" i="6"/>
  <c r="S6" i="6"/>
  <c r="J6" i="6"/>
  <c r="Q5" i="6"/>
  <c r="W4" i="6"/>
  <c r="O4" i="6"/>
  <c r="U3" i="6"/>
  <c r="M3" i="6"/>
  <c r="S2" i="6"/>
  <c r="J2" i="6"/>
  <c r="Q54" i="7"/>
  <c r="J30" i="6"/>
  <c r="U21" i="6"/>
  <c r="L17" i="6"/>
  <c r="R12" i="6"/>
  <c r="V4" i="6"/>
  <c r="W44" i="7"/>
  <c r="O16" i="7"/>
  <c r="W28" i="6"/>
  <c r="L21" i="6"/>
  <c r="R16" i="6"/>
  <c r="B12" i="6"/>
  <c r="E12" i="6" s="1"/>
  <c r="G12" i="6" s="1"/>
  <c r="N4" i="6"/>
  <c r="N40" i="7"/>
  <c r="N12" i="7"/>
  <c r="U27" i="6"/>
  <c r="R20" i="6"/>
  <c r="B16" i="6"/>
  <c r="E16" i="6" s="1"/>
  <c r="G16" i="6" s="1"/>
  <c r="P11" i="6"/>
  <c r="T3" i="6"/>
  <c r="P34" i="7"/>
  <c r="L10" i="7"/>
  <c r="S26" i="6"/>
  <c r="B20" i="6"/>
  <c r="E20" i="6" s="1"/>
  <c r="G20" i="6" s="1"/>
  <c r="P15" i="6"/>
  <c r="V10" i="6"/>
  <c r="T7" i="6"/>
  <c r="L3" i="6"/>
  <c r="R28" i="7"/>
  <c r="B8" i="7"/>
  <c r="Q25" i="6"/>
  <c r="P19" i="6"/>
  <c r="V14" i="6"/>
  <c r="N10" i="6"/>
  <c r="L7" i="6"/>
  <c r="R2" i="6"/>
  <c r="N24" i="7"/>
  <c r="V2" i="7"/>
  <c r="Q33" i="6"/>
  <c r="O24" i="6"/>
  <c r="V18" i="6"/>
  <c r="N14" i="6"/>
  <c r="T9" i="6"/>
  <c r="R6" i="6"/>
  <c r="B2" i="6"/>
  <c r="F2" i="6" s="1"/>
  <c r="H2" i="6" s="1"/>
  <c r="L13" i="6"/>
  <c r="AD88" i="12"/>
  <c r="AD107" i="12"/>
  <c r="AF113" i="12"/>
  <c r="AE116" i="12"/>
  <c r="J126" i="12"/>
  <c r="T126" i="12"/>
  <c r="X126" i="12" s="1"/>
  <c r="AF136" i="12"/>
  <c r="AD137" i="12"/>
  <c r="AF137" i="12"/>
  <c r="AE137" i="12"/>
  <c r="AC137" i="12"/>
  <c r="AC144" i="12"/>
  <c r="J162" i="12"/>
  <c r="AE174" i="12"/>
  <c r="J178" i="12"/>
  <c r="J211" i="12"/>
  <c r="AC213" i="12"/>
  <c r="AC240" i="12"/>
  <c r="P5" i="6"/>
  <c r="T13" i="6"/>
  <c r="B20" i="7"/>
  <c r="F20" i="7" s="1"/>
  <c r="H20" i="7" s="1"/>
  <c r="AF229" i="12"/>
  <c r="G1" i="4"/>
  <c r="AG154" i="12"/>
  <c r="AF175" i="12"/>
  <c r="AG183" i="12"/>
  <c r="AG189" i="12"/>
  <c r="AF214" i="12"/>
  <c r="H1" i="4"/>
  <c r="AG128" i="12"/>
  <c r="AD132" i="12"/>
  <c r="AF141" i="12"/>
  <c r="AG146" i="12"/>
  <c r="AE168" i="12"/>
  <c r="AD175" i="12"/>
  <c r="AG180" i="12"/>
  <c r="AF194" i="12"/>
  <c r="AG204" i="12"/>
  <c r="AG205" i="12"/>
  <c r="AF218" i="12"/>
  <c r="AD221" i="12"/>
  <c r="AF237" i="12"/>
  <c r="AD237" i="12"/>
  <c r="AD146" i="12"/>
  <c r="AC155" i="12"/>
  <c r="AG161" i="12"/>
  <c r="AG169" i="12"/>
  <c r="AC172" i="12"/>
  <c r="AE173" i="12"/>
  <c r="AC175" i="12"/>
  <c r="AG181" i="12"/>
  <c r="AC186" i="12"/>
  <c r="AD201" i="12"/>
  <c r="AC205" i="12"/>
  <c r="AC214" i="12"/>
  <c r="AF216" i="12"/>
  <c r="AC221" i="12"/>
  <c r="AG248" i="12"/>
  <c r="AF258" i="12"/>
  <c r="AE258" i="12"/>
  <c r="AD258" i="12"/>
  <c r="AC258" i="12"/>
  <c r="AG132" i="12"/>
  <c r="AE133" i="12"/>
  <c r="AD141" i="12"/>
  <c r="AE146" i="12"/>
  <c r="AC151" i="12"/>
  <c r="AD155" i="12"/>
  <c r="AC161" i="12"/>
  <c r="AD164" i="12"/>
  <c r="AC181" i="12"/>
  <c r="AE186" i="12"/>
  <c r="AC195" i="12"/>
  <c r="AD205" i="12"/>
  <c r="AG215" i="12"/>
  <c r="AE218" i="12"/>
  <c r="AE219" i="12"/>
  <c r="J231" i="12"/>
  <c r="AF246" i="12"/>
  <c r="AE129" i="12"/>
  <c r="AE141" i="12"/>
  <c r="AE142" i="12"/>
  <c r="AE162" i="12"/>
  <c r="AG170" i="12"/>
  <c r="AD173" i="12"/>
  <c r="AG192" i="12"/>
  <c r="AD196" i="12"/>
  <c r="AC201" i="12"/>
  <c r="AC216" i="12"/>
  <c r="AG221" i="12"/>
  <c r="AG227" i="12"/>
  <c r="J239" i="12"/>
  <c r="AF240" i="12"/>
  <c r="AE240" i="12"/>
  <c r="AF256" i="12"/>
  <c r="AD256" i="12"/>
  <c r="K4" i="7"/>
  <c r="AC237" i="12"/>
  <c r="AG246" i="12"/>
  <c r="AF247" i="12"/>
  <c r="N4" i="7"/>
  <c r="B36" i="7"/>
  <c r="AD241" i="12"/>
  <c r="AG247" i="12"/>
  <c r="R4" i="7"/>
  <c r="AE230" i="12"/>
  <c r="AG242" i="12"/>
  <c r="AD247" i="12"/>
  <c r="AE260" i="12"/>
  <c r="B5" i="7"/>
  <c r="AC230" i="12"/>
  <c r="AC233" i="12"/>
  <c r="AG237" i="12"/>
  <c r="AG238" i="12"/>
  <c r="AE247" i="12"/>
  <c r="AE250" i="12"/>
  <c r="B30" i="7"/>
  <c r="B6" i="7"/>
  <c r="L4" i="7"/>
  <c r="B38" i="7"/>
  <c r="B37" i="7"/>
  <c r="J4" i="7"/>
  <c r="B32" i="7"/>
  <c r="B8" i="9"/>
  <c r="C8" i="9"/>
  <c r="D8" i="9"/>
  <c r="E8" i="9"/>
  <c r="AC72" i="12"/>
  <c r="AF72" i="12"/>
  <c r="AD72" i="12"/>
  <c r="AD106" i="12"/>
  <c r="AG106" i="12"/>
  <c r="AC106" i="12"/>
  <c r="AE110" i="12"/>
  <c r="AD110" i="12"/>
  <c r="AG136" i="12"/>
  <c r="AD136" i="12"/>
  <c r="AE136" i="12"/>
  <c r="AC136" i="12"/>
  <c r="AD143" i="12"/>
  <c r="AC143" i="12"/>
  <c r="AC157" i="12"/>
  <c r="AD157" i="12"/>
  <c r="AD210" i="12"/>
  <c r="AE210" i="12"/>
  <c r="AC210" i="12"/>
  <c r="AD224" i="12"/>
  <c r="AF224" i="12"/>
  <c r="AE224" i="12"/>
  <c r="AC248" i="12"/>
  <c r="AE248" i="12"/>
  <c r="AD248" i="12"/>
  <c r="AE39" i="12"/>
  <c r="AC39" i="12"/>
  <c r="AC8" i="12"/>
  <c r="AF8" i="12"/>
  <c r="AF44" i="12"/>
  <c r="AE44" i="12"/>
  <c r="AF52" i="12"/>
  <c r="AD52" i="12"/>
  <c r="AD75" i="12"/>
  <c r="AC75" i="12"/>
  <c r="AF97" i="12"/>
  <c r="AC97" i="12"/>
  <c r="AG103" i="12"/>
  <c r="AE103" i="12"/>
  <c r="AD113" i="12"/>
  <c r="AC113" i="12"/>
  <c r="AC6" i="12"/>
  <c r="AD8" i="12"/>
  <c r="AD16" i="12"/>
  <c r="AD18" i="12"/>
  <c r="AD20" i="12"/>
  <c r="AC29" i="12"/>
  <c r="AD31" i="12"/>
  <c r="AG38" i="12"/>
  <c r="AC41" i="12"/>
  <c r="AC44" i="12"/>
  <c r="AC49" i="12"/>
  <c r="AC52" i="12"/>
  <c r="AE60" i="12"/>
  <c r="AE63" i="12"/>
  <c r="AC64" i="12"/>
  <c r="AF64" i="12"/>
  <c r="AD66" i="12"/>
  <c r="AC67" i="12"/>
  <c r="AF67" i="12"/>
  <c r="AD70" i="12"/>
  <c r="AE72" i="12"/>
  <c r="AE75" i="12"/>
  <c r="AD78" i="12"/>
  <c r="AC81" i="12"/>
  <c r="AG83" i="12"/>
  <c r="AG84" i="12"/>
  <c r="AD84" i="12"/>
  <c r="AD91" i="12"/>
  <c r="AF91" i="12"/>
  <c r="AE91" i="12"/>
  <c r="AD97" i="12"/>
  <c r="AC110" i="12"/>
  <c r="AG113" i="12"/>
  <c r="AD114" i="12"/>
  <c r="AC114" i="12"/>
  <c r="AC126" i="12"/>
  <c r="AF126" i="12"/>
  <c r="AE126" i="12"/>
  <c r="AD145" i="12"/>
  <c r="AE145" i="12"/>
  <c r="AF145" i="12"/>
  <c r="AD154" i="12"/>
  <c r="AE157" i="12"/>
  <c r="AC158" i="12"/>
  <c r="AD158" i="12"/>
  <c r="AF158" i="12"/>
  <c r="AE165" i="12"/>
  <c r="AF165" i="12"/>
  <c r="AC165" i="12"/>
  <c r="AG172" i="12"/>
  <c r="AD172" i="12"/>
  <c r="AC196" i="12"/>
  <c r="AG200" i="12"/>
  <c r="AD200" i="12"/>
  <c r="AE200" i="12"/>
  <c r="AC200" i="12"/>
  <c r="AG207" i="12"/>
  <c r="AE207" i="12"/>
  <c r="AC207" i="12"/>
  <c r="AE208" i="12"/>
  <c r="AC208" i="12"/>
  <c r="AG210" i="12"/>
  <c r="AF212" i="12"/>
  <c r="AC212" i="12"/>
  <c r="AE212" i="12"/>
  <c r="AF215" i="12"/>
  <c r="AC215" i="12"/>
  <c r="AD215" i="12"/>
  <c r="AC224" i="12"/>
  <c r="AF244" i="12"/>
  <c r="AD244" i="12"/>
  <c r="AE244" i="12"/>
  <c r="AF248" i="12"/>
  <c r="AG249" i="12"/>
  <c r="AD249" i="12"/>
  <c r="AE249" i="12"/>
  <c r="AE13" i="12"/>
  <c r="AC18" i="12"/>
  <c r="AC20" i="12"/>
  <c r="AC22" i="12"/>
  <c r="AC26" i="12"/>
  <c r="AC57" i="12"/>
  <c r="AF104" i="12"/>
  <c r="AC104" i="12"/>
  <c r="AE104" i="12"/>
  <c r="AD125" i="12"/>
  <c r="AF125" i="12"/>
  <c r="AC125" i="12"/>
  <c r="AG143" i="12"/>
  <c r="AD144" i="12"/>
  <c r="AG144" i="12"/>
  <c r="AE144" i="12"/>
  <c r="AE188" i="12"/>
  <c r="AC188" i="12"/>
  <c r="AD188" i="12"/>
  <c r="AC211" i="12"/>
  <c r="AE211" i="12"/>
  <c r="AD211" i="12"/>
  <c r="AE257" i="12"/>
  <c r="AC257" i="12"/>
  <c r="AC12" i="12"/>
  <c r="AE18" i="12"/>
  <c r="AE20" i="12"/>
  <c r="AD39" i="12"/>
  <c r="AE50" i="12"/>
  <c r="AC50" i="12"/>
  <c r="AE61" i="12"/>
  <c r="AC61" i="12"/>
  <c r="AF75" i="12"/>
  <c r="AD104" i="12"/>
  <c r="AF110" i="12"/>
  <c r="AE125" i="12"/>
  <c r="AF159" i="12"/>
  <c r="AE159" i="12"/>
  <c r="AD159" i="12"/>
  <c r="AF188" i="12"/>
  <c r="AD193" i="12"/>
  <c r="AF193" i="12"/>
  <c r="AC193" i="12"/>
  <c r="AG196" i="12"/>
  <c r="AF228" i="12"/>
  <c r="AE228" i="12"/>
  <c r="AD228" i="12"/>
  <c r="AG233" i="12"/>
  <c r="AE41" i="12"/>
  <c r="AD41" i="12"/>
  <c r="AE117" i="12"/>
  <c r="AF117" i="12"/>
  <c r="AD117" i="12"/>
  <c r="AC31" i="12"/>
  <c r="AC46" i="12"/>
  <c r="AE54" i="12"/>
  <c r="AC60" i="12"/>
  <c r="AF87" i="12"/>
  <c r="AD87" i="12"/>
  <c r="AE94" i="12"/>
  <c r="AF94" i="12"/>
  <c r="AC94" i="12"/>
  <c r="AG100" i="12"/>
  <c r="AE100" i="12"/>
  <c r="AD103" i="12"/>
  <c r="AE106" i="12"/>
  <c r="AE113" i="12"/>
  <c r="AE122" i="12"/>
  <c r="AC122" i="12"/>
  <c r="AD129" i="12"/>
  <c r="AF129" i="12"/>
  <c r="AC129" i="12"/>
  <c r="AD133" i="12"/>
  <c r="AG133" i="12"/>
  <c r="AC133" i="12"/>
  <c r="AE148" i="12"/>
  <c r="AC148" i="12"/>
  <c r="AC168" i="12"/>
  <c r="AG168" i="12"/>
  <c r="AD168" i="12"/>
  <c r="AD185" i="12"/>
  <c r="AF185" i="12"/>
  <c r="AE185" i="12"/>
  <c r="AF204" i="12"/>
  <c r="AC204" i="12"/>
  <c r="AE204" i="12"/>
  <c r="AE223" i="12"/>
  <c r="Z3" i="12"/>
  <c r="AD6" i="12"/>
  <c r="AE8" i="12"/>
  <c r="AD10" i="12"/>
  <c r="AD29" i="12"/>
  <c r="AE31" i="12"/>
  <c r="AC42" i="12"/>
  <c r="AF42" i="12"/>
  <c r="AD44" i="12"/>
  <c r="AC47" i="12"/>
  <c r="AE52" i="12"/>
  <c r="AC55" i="12"/>
  <c r="AC58" i="12"/>
  <c r="AG60" i="12"/>
  <c r="AE81" i="12"/>
  <c r="AD94" i="12"/>
  <c r="AE97" i="12"/>
  <c r="AF108" i="12"/>
  <c r="AD108" i="12"/>
  <c r="AC111" i="12"/>
  <c r="AD111" i="12"/>
  <c r="AG118" i="12"/>
  <c r="AD118" i="12"/>
  <c r="AE152" i="12"/>
  <c r="AC152" i="12"/>
  <c r="AF157" i="12"/>
  <c r="AD189" i="12"/>
  <c r="AF189" i="12"/>
  <c r="AC189" i="12"/>
  <c r="AD197" i="12"/>
  <c r="AG197" i="12"/>
  <c r="AC197" i="12"/>
  <c r="AD204" i="12"/>
  <c r="AF211" i="12"/>
  <c r="AG218" i="12"/>
  <c r="AD218" i="12"/>
  <c r="AG231" i="12"/>
  <c r="AD231" i="12"/>
  <c r="AC231" i="12"/>
  <c r="AG234" i="12"/>
  <c r="AE234" i="12"/>
  <c r="AA3" i="12"/>
  <c r="AF6" i="12"/>
  <c r="AE10" i="12"/>
  <c r="AD12" i="12"/>
  <c r="AE17" i="12"/>
  <c r="AF17" i="12"/>
  <c r="AC19" i="12"/>
  <c r="AE19" i="12"/>
  <c r="AD27" i="12"/>
  <c r="AE29" i="12"/>
  <c r="AD30" i="12"/>
  <c r="AE30" i="12"/>
  <c r="AC32" i="12"/>
  <c r="AC37" i="12"/>
  <c r="AF39" i="12"/>
  <c r="AD47" i="12"/>
  <c r="AG49" i="12"/>
  <c r="AD55" i="12"/>
  <c r="AD58" i="12"/>
  <c r="AD61" i="12"/>
  <c r="AD64" i="12"/>
  <c r="AD67" i="12"/>
  <c r="AC70" i="12"/>
  <c r="AC73" i="12"/>
  <c r="AC76" i="12"/>
  <c r="AC79" i="12"/>
  <c r="AE84" i="12"/>
  <c r="AE85" i="12"/>
  <c r="AC85" i="12"/>
  <c r="AE87" i="12"/>
  <c r="AC91" i="12"/>
  <c r="AD95" i="12"/>
  <c r="AC95" i="12"/>
  <c r="AG95" i="12"/>
  <c r="AC118" i="12"/>
  <c r="AC119" i="12"/>
  <c r="AF119" i="12"/>
  <c r="AE119" i="12"/>
  <c r="AF122" i="12"/>
  <c r="AE123" i="12"/>
  <c r="AD123" i="12"/>
  <c r="AG130" i="12"/>
  <c r="AE130" i="12"/>
  <c r="AC130" i="12"/>
  <c r="AE131" i="12"/>
  <c r="AF131" i="12"/>
  <c r="AD131" i="12"/>
  <c r="AF138" i="12"/>
  <c r="AC138" i="12"/>
  <c r="AE138" i="12"/>
  <c r="AC145" i="12"/>
  <c r="AF148" i="12"/>
  <c r="AF149" i="12"/>
  <c r="AC149" i="12"/>
  <c r="AE149" i="12"/>
  <c r="AD152" i="12"/>
  <c r="AE158" i="12"/>
  <c r="AD165" i="12"/>
  <c r="AE170" i="12"/>
  <c r="AC170" i="12"/>
  <c r="AE176" i="12"/>
  <c r="AD176" i="12"/>
  <c r="AC176" i="12"/>
  <c r="AC190" i="12"/>
  <c r="AF190" i="12"/>
  <c r="AE190" i="12"/>
  <c r="AE197" i="12"/>
  <c r="AD208" i="12"/>
  <c r="AD212" i="12"/>
  <c r="AE215" i="12"/>
  <c r="AC218" i="12"/>
  <c r="AD234" i="12"/>
  <c r="AC235" i="12"/>
  <c r="AD235" i="12"/>
  <c r="AF235" i="12"/>
  <c r="AC241" i="12"/>
  <c r="AC244" i="12"/>
  <c r="AC59" i="12"/>
  <c r="AF59" i="12"/>
  <c r="AD59" i="12"/>
  <c r="AC77" i="12"/>
  <c r="AF77" i="12"/>
  <c r="AG92" i="12"/>
  <c r="AD92" i="12"/>
  <c r="AE102" i="12"/>
  <c r="AF102" i="12"/>
  <c r="AD102" i="12"/>
  <c r="AF112" i="12"/>
  <c r="AC112" i="12"/>
  <c r="AE112" i="12"/>
  <c r="AG127" i="12"/>
  <c r="AE127" i="12"/>
  <c r="AC139" i="12"/>
  <c r="AF139" i="12"/>
  <c r="AD177" i="12"/>
  <c r="AC177" i="12"/>
  <c r="AE177" i="12"/>
  <c r="AE209" i="12"/>
  <c r="AF209" i="12"/>
  <c r="AD209" i="12"/>
  <c r="AD222" i="12"/>
  <c r="AE222" i="12"/>
  <c r="AC222" i="12"/>
  <c r="AF236" i="12"/>
  <c r="AC236" i="12"/>
  <c r="AE239" i="12"/>
  <c r="AF239" i="12"/>
  <c r="AC239" i="12"/>
  <c r="AC245" i="12"/>
  <c r="AE245" i="12"/>
  <c r="AD245" i="12"/>
  <c r="AD7" i="12"/>
  <c r="AC15" i="12"/>
  <c r="AC17" i="12"/>
  <c r="AE23" i="12"/>
  <c r="AD25" i="12"/>
  <c r="AF28" i="12"/>
  <c r="AE28" i="12"/>
  <c r="AC28" i="12"/>
  <c r="AE33" i="12"/>
  <c r="AF33" i="12"/>
  <c r="AE42" i="12"/>
  <c r="AF50" i="12"/>
  <c r="AC51" i="12"/>
  <c r="AD51" i="12"/>
  <c r="AG61" i="12"/>
  <c r="AG73" i="12"/>
  <c r="AE74" i="12"/>
  <c r="AC74" i="12"/>
  <c r="AC92" i="12"/>
  <c r="AE93" i="12"/>
  <c r="AD93" i="12"/>
  <c r="AE108" i="12"/>
  <c r="AF111" i="12"/>
  <c r="AD127" i="12"/>
  <c r="AD147" i="12"/>
  <c r="AE147" i="12"/>
  <c r="AG152" i="12"/>
  <c r="AC160" i="12"/>
  <c r="AG160" i="12"/>
  <c r="AE160" i="12"/>
  <c r="AD178" i="12"/>
  <c r="AF178" i="12"/>
  <c r="AE178" i="12"/>
  <c r="AE187" i="12"/>
  <c r="AD187" i="12"/>
  <c r="AG194" i="12"/>
  <c r="AE194" i="12"/>
  <c r="AC194" i="12"/>
  <c r="AE195" i="12"/>
  <c r="AF195" i="12"/>
  <c r="AD195" i="12"/>
  <c r="AF202" i="12"/>
  <c r="AC202" i="12"/>
  <c r="AE202" i="12"/>
  <c r="AF226" i="12"/>
  <c r="AC226" i="12"/>
  <c r="AE226" i="12"/>
  <c r="AD229" i="12"/>
  <c r="AC229" i="12"/>
  <c r="AG229" i="12"/>
  <c r="AG241" i="12"/>
  <c r="AD246" i="12"/>
  <c r="AC246" i="12"/>
  <c r="AE246" i="12"/>
  <c r="AF255" i="12"/>
  <c r="AC255" i="12"/>
  <c r="AD255" i="12"/>
  <c r="AC256" i="12"/>
  <c r="AE256" i="12"/>
  <c r="AD259" i="12"/>
  <c r="AD62" i="12"/>
  <c r="AC62" i="12"/>
  <c r="AC80" i="12"/>
  <c r="AF80" i="12"/>
  <c r="AC96" i="12"/>
  <c r="AE96" i="12"/>
  <c r="AE109" i="12"/>
  <c r="AC109" i="12"/>
  <c r="AG115" i="12"/>
  <c r="AE115" i="12"/>
  <c r="AC115" i="12"/>
  <c r="AF135" i="12"/>
  <c r="AC135" i="12"/>
  <c r="AE135" i="12"/>
  <c r="AC13" i="12"/>
  <c r="AD15" i="12"/>
  <c r="AD22" i="12"/>
  <c r="AF23" i="12"/>
  <c r="AF25" i="12"/>
  <c r="AF26" i="12"/>
  <c r="AD26" i="12"/>
  <c r="AF36" i="12"/>
  <c r="AE36" i="12"/>
  <c r="AG37" i="12"/>
  <c r="AE46" i="12"/>
  <c r="AD57" i="12"/>
  <c r="AE59" i="12"/>
  <c r="AE62" i="12"/>
  <c r="AD77" i="12"/>
  <c r="AD80" i="12"/>
  <c r="AD83" i="12"/>
  <c r="AF83" i="12"/>
  <c r="AC83" i="12"/>
  <c r="AE86" i="12"/>
  <c r="AC86" i="12"/>
  <c r="AG89" i="12"/>
  <c r="AE89" i="12"/>
  <c r="AE92" i="12"/>
  <c r="AD96" i="12"/>
  <c r="AC102" i="12"/>
  <c r="AD109" i="12"/>
  <c r="AD112" i="12"/>
  <c r="AF121" i="12"/>
  <c r="AD121" i="12"/>
  <c r="AE124" i="12"/>
  <c r="AC124" i="12"/>
  <c r="AD124" i="12"/>
  <c r="AD135" i="12"/>
  <c r="AD139" i="12"/>
  <c r="AG150" i="12"/>
  <c r="AE150" i="12"/>
  <c r="AD150" i="12"/>
  <c r="AC153" i="12"/>
  <c r="AD160" i="12"/>
  <c r="AG166" i="12"/>
  <c r="AF177" i="12"/>
  <c r="AC182" i="12"/>
  <c r="AF182" i="12"/>
  <c r="AD182" i="12"/>
  <c r="AG191" i="12"/>
  <c r="AE191" i="12"/>
  <c r="AD194" i="12"/>
  <c r="AF199" i="12"/>
  <c r="AC199" i="12"/>
  <c r="AE199" i="12"/>
  <c r="AC203" i="12"/>
  <c r="AF203" i="12"/>
  <c r="AC209" i="12"/>
  <c r="AD214" i="12"/>
  <c r="AE214" i="12"/>
  <c r="AF222" i="12"/>
  <c r="AC223" i="12"/>
  <c r="AF223" i="12"/>
  <c r="AD223" i="12"/>
  <c r="AE229" i="12"/>
  <c r="AD236" i="12"/>
  <c r="AD239" i="12"/>
  <c r="AD242" i="12"/>
  <c r="AG245" i="12"/>
  <c r="AC43" i="12"/>
  <c r="AD54" i="12"/>
  <c r="AE65" i="12"/>
  <c r="AE78" i="12"/>
  <c r="AD81" i="12"/>
  <c r="AF88" i="12"/>
  <c r="AE90" i="12"/>
  <c r="AF99" i="12"/>
  <c r="AF107" i="12"/>
  <c r="AF120" i="12"/>
  <c r="AE140" i="12"/>
  <c r="AF140" i="12"/>
  <c r="AG141" i="12"/>
  <c r="AF146" i="12"/>
  <c r="AE154" i="12"/>
  <c r="AE156" i="12"/>
  <c r="AD156" i="12"/>
  <c r="AF162" i="12"/>
  <c r="AF179" i="12"/>
  <c r="AE180" i="12"/>
  <c r="AC180" i="12"/>
  <c r="AE242" i="12"/>
  <c r="AF253" i="12"/>
  <c r="AE253" i="12"/>
  <c r="AF259" i="12"/>
  <c r="AE259" i="12"/>
  <c r="AC14" i="12"/>
  <c r="AC27" i="12"/>
  <c r="AD38" i="12"/>
  <c r="AD43" i="12"/>
  <c r="AE49" i="12"/>
  <c r="AC54" i="12"/>
  <c r="AC56" i="12"/>
  <c r="AC65" i="12"/>
  <c r="AC69" i="12"/>
  <c r="AC78" i="12"/>
  <c r="AC89" i="12"/>
  <c r="AD98" i="12"/>
  <c r="AC100" i="12"/>
  <c r="AD115" i="12"/>
  <c r="AC140" i="12"/>
  <c r="AF143" i="12"/>
  <c r="AE143" i="12"/>
  <c r="AC154" i="12"/>
  <c r="AC156" i="12"/>
  <c r="AC166" i="12"/>
  <c r="AD166" i="12"/>
  <c r="AF171" i="12"/>
  <c r="AC171" i="12"/>
  <c r="AC173" i="12"/>
  <c r="AE175" i="12"/>
  <c r="AD180" i="12"/>
  <c r="AE217" i="12"/>
  <c r="AF217" i="12"/>
  <c r="AE221" i="12"/>
  <c r="AE231" i="12"/>
  <c r="AE233" i="12"/>
  <c r="AD233" i="12"/>
  <c r="AE237" i="12"/>
  <c r="AC242" i="12"/>
  <c r="AC247" i="12"/>
  <c r="AC250" i="12"/>
  <c r="AC253" i="12"/>
  <c r="AF257" i="12"/>
  <c r="AD257" i="12"/>
  <c r="AC259" i="12"/>
  <c r="AC134" i="12"/>
  <c r="AE134" i="12"/>
  <c r="AD169" i="12"/>
  <c r="AC169" i="12"/>
  <c r="AC174" i="12"/>
  <c r="AF174" i="12"/>
  <c r="AC198" i="12"/>
  <c r="AE198" i="12"/>
  <c r="AF220" i="12"/>
  <c r="AE220" i="12"/>
  <c r="AC243" i="12"/>
  <c r="AD243" i="12"/>
  <c r="AC35" i="12"/>
  <c r="AD46" i="12"/>
  <c r="AE57" i="12"/>
  <c r="AE70" i="12"/>
  <c r="AC103" i="12"/>
  <c r="AE118" i="12"/>
  <c r="AF127" i="12"/>
  <c r="AC127" i="12"/>
  <c r="AE132" i="12"/>
  <c r="AF132" i="12"/>
  <c r="AF151" i="12"/>
  <c r="AE151" i="12"/>
  <c r="AC164" i="12"/>
  <c r="AF167" i="12"/>
  <c r="AD167" i="12"/>
  <c r="AG186" i="12"/>
  <c r="AD186" i="12"/>
  <c r="AF191" i="12"/>
  <c r="AC191" i="12"/>
  <c r="AE196" i="12"/>
  <c r="AF196" i="12"/>
  <c r="AD206" i="12"/>
  <c r="AF206" i="12"/>
  <c r="AG213" i="12"/>
  <c r="AD213" i="12"/>
  <c r="AC234" i="12"/>
  <c r="AC238" i="12"/>
  <c r="AC251" i="12"/>
  <c r="AC142" i="12"/>
  <c r="AD153" i="12"/>
  <c r="AE164" i="12"/>
  <c r="AC219" i="12"/>
  <c r="AD230" i="12"/>
  <c r="AE241" i="12"/>
  <c r="AC150" i="12"/>
  <c r="AD161" i="12"/>
  <c r="AE172" i="12"/>
  <c r="AC227" i="12"/>
  <c r="AD238" i="12"/>
  <c r="N25" i="7" l="1"/>
  <c r="J41" i="7"/>
  <c r="W41" i="7"/>
  <c r="M75" i="7"/>
  <c r="T9" i="7"/>
  <c r="W63" i="7"/>
  <c r="W61" i="7"/>
  <c r="F60" i="7"/>
  <c r="H60" i="7" s="1"/>
  <c r="S61" i="7"/>
  <c r="O61" i="7"/>
  <c r="S19" i="7"/>
  <c r="S77" i="7"/>
  <c r="M61" i="7"/>
  <c r="W67" i="7"/>
  <c r="N57" i="7"/>
  <c r="U47" i="7"/>
  <c r="K57" i="7"/>
  <c r="S57" i="7"/>
  <c r="V47" i="7"/>
  <c r="P77" i="7"/>
  <c r="F76" i="7"/>
  <c r="H76" i="7" s="1"/>
  <c r="V49" i="7"/>
  <c r="T61" i="7"/>
  <c r="V57" i="7"/>
  <c r="U77" i="7"/>
  <c r="Q77" i="7"/>
  <c r="N77" i="7"/>
  <c r="R77" i="7"/>
  <c r="V77" i="7"/>
  <c r="J77" i="7"/>
  <c r="L77" i="7"/>
  <c r="T77" i="7"/>
  <c r="O77" i="7"/>
  <c r="M77" i="7"/>
  <c r="W77" i="7"/>
  <c r="P57" i="7"/>
  <c r="K29" i="7"/>
  <c r="Q17" i="7"/>
  <c r="Q61" i="7"/>
  <c r="J61" i="7"/>
  <c r="P61" i="7"/>
  <c r="R69" i="7"/>
  <c r="L61" i="7"/>
  <c r="L63" i="7"/>
  <c r="O19" i="7"/>
  <c r="T41" i="7"/>
  <c r="K63" i="7"/>
  <c r="F66" i="7"/>
  <c r="H66" i="7" s="1"/>
  <c r="N63" i="7"/>
  <c r="L35" i="7"/>
  <c r="M57" i="7"/>
  <c r="V67" i="7"/>
  <c r="T63" i="7"/>
  <c r="P67" i="7"/>
  <c r="B39" i="7"/>
  <c r="N39" i="7" s="1"/>
  <c r="S63" i="7"/>
  <c r="J63" i="7"/>
  <c r="P35" i="7"/>
  <c r="L67" i="7"/>
  <c r="E34" i="7"/>
  <c r="G34" i="7" s="1"/>
  <c r="K67" i="7"/>
  <c r="Q67" i="7"/>
  <c r="T57" i="7"/>
  <c r="L47" i="7"/>
  <c r="T13" i="7"/>
  <c r="R23" i="7"/>
  <c r="S23" i="7"/>
  <c r="W13" i="7"/>
  <c r="U23" i="7"/>
  <c r="J19" i="7"/>
  <c r="O63" i="7"/>
  <c r="M67" i="7"/>
  <c r="U67" i="7"/>
  <c r="N23" i="7"/>
  <c r="T55" i="7"/>
  <c r="O35" i="7"/>
  <c r="Q35" i="7"/>
  <c r="M19" i="7"/>
  <c r="P19" i="7"/>
  <c r="Q19" i="7"/>
  <c r="T29" i="7"/>
  <c r="W19" i="7"/>
  <c r="F68" i="7"/>
  <c r="H68" i="7" s="1"/>
  <c r="R71" i="7"/>
  <c r="K69" i="7"/>
  <c r="S71" i="7"/>
  <c r="T67" i="7"/>
  <c r="Q25" i="7"/>
  <c r="U3" i="7"/>
  <c r="U25" i="7"/>
  <c r="V75" i="7"/>
  <c r="J71" i="7"/>
  <c r="M3" i="7"/>
  <c r="T25" i="7"/>
  <c r="V3" i="7"/>
  <c r="N41" i="7"/>
  <c r="L75" i="7"/>
  <c r="S25" i="7"/>
  <c r="E40" i="7"/>
  <c r="G40" i="7" s="1"/>
  <c r="L25" i="7"/>
  <c r="N69" i="7"/>
  <c r="F70" i="7"/>
  <c r="H70" i="7" s="1"/>
  <c r="R3" i="7"/>
  <c r="U69" i="7"/>
  <c r="T71" i="7"/>
  <c r="P75" i="7"/>
  <c r="K41" i="7"/>
  <c r="P3" i="7"/>
  <c r="Q69" i="7"/>
  <c r="M41" i="7"/>
  <c r="F2" i="7"/>
  <c r="H2" i="7" s="1"/>
  <c r="R25" i="7"/>
  <c r="S75" i="7"/>
  <c r="Q63" i="7"/>
  <c r="E24" i="7"/>
  <c r="G24" i="7" s="1"/>
  <c r="L41" i="7"/>
  <c r="P69" i="7"/>
  <c r="R41" i="7"/>
  <c r="N71" i="7"/>
  <c r="P25" i="7"/>
  <c r="R75" i="7"/>
  <c r="V25" i="7"/>
  <c r="V41" i="7"/>
  <c r="J69" i="7"/>
  <c r="Q41" i="7"/>
  <c r="K27" i="7"/>
  <c r="O27" i="7"/>
  <c r="J11" i="7"/>
  <c r="M71" i="7"/>
  <c r="O69" i="7"/>
  <c r="W69" i="7"/>
  <c r="Q71" i="7"/>
  <c r="M63" i="7"/>
  <c r="U71" i="7"/>
  <c r="N61" i="7"/>
  <c r="V69" i="7"/>
  <c r="N27" i="7"/>
  <c r="L69" i="7"/>
  <c r="T43" i="7"/>
  <c r="V61" i="7"/>
  <c r="P71" i="7"/>
  <c r="T69" i="7"/>
  <c r="M69" i="7"/>
  <c r="V71" i="7"/>
  <c r="U61" i="7"/>
  <c r="R47" i="7"/>
  <c r="Q47" i="7"/>
  <c r="K47" i="7"/>
  <c r="T47" i="7"/>
  <c r="W35" i="7"/>
  <c r="O41" i="7"/>
  <c r="R53" i="7"/>
  <c r="W3" i="7"/>
  <c r="W25" i="7"/>
  <c r="F74" i="7"/>
  <c r="H74" i="7" s="1"/>
  <c r="O75" i="7"/>
  <c r="T75" i="7"/>
  <c r="S41" i="7"/>
  <c r="J25" i="7"/>
  <c r="L3" i="7"/>
  <c r="N3" i="7"/>
  <c r="O3" i="7"/>
  <c r="O25" i="7"/>
  <c r="U35" i="7"/>
  <c r="P23" i="7"/>
  <c r="V11" i="7"/>
  <c r="M13" i="7"/>
  <c r="W75" i="7"/>
  <c r="P59" i="7"/>
  <c r="T53" i="7"/>
  <c r="O57" i="7"/>
  <c r="W29" i="7"/>
  <c r="R67" i="7"/>
  <c r="L29" i="7"/>
  <c r="Q29" i="7"/>
  <c r="U45" i="7"/>
  <c r="R61" i="7"/>
  <c r="O59" i="7"/>
  <c r="V55" i="7"/>
  <c r="P13" i="7"/>
  <c r="U29" i="7"/>
  <c r="U57" i="7"/>
  <c r="O67" i="7"/>
  <c r="L71" i="7"/>
  <c r="U63" i="7"/>
  <c r="J27" i="7"/>
  <c r="N13" i="7"/>
  <c r="F12" i="7"/>
  <c r="H12" i="7" s="1"/>
  <c r="R19" i="7"/>
  <c r="V63" i="7"/>
  <c r="O71" i="7"/>
  <c r="N59" i="7"/>
  <c r="P53" i="7"/>
  <c r="L53" i="7"/>
  <c r="F54" i="7"/>
  <c r="H54" i="7" s="1"/>
  <c r="E52" i="7"/>
  <c r="G52" i="7" s="1"/>
  <c r="Q53" i="7"/>
  <c r="O55" i="7"/>
  <c r="U53" i="7"/>
  <c r="J55" i="7"/>
  <c r="M35" i="7"/>
  <c r="Q59" i="7"/>
  <c r="M53" i="7"/>
  <c r="M49" i="7"/>
  <c r="O53" i="7"/>
  <c r="J53" i="7"/>
  <c r="T35" i="7"/>
  <c r="R57" i="7"/>
  <c r="N45" i="7"/>
  <c r="T45" i="7"/>
  <c r="N49" i="7"/>
  <c r="K49" i="7"/>
  <c r="Q45" i="7"/>
  <c r="T49" i="7"/>
  <c r="R49" i="7"/>
  <c r="L45" i="7"/>
  <c r="L49" i="7"/>
  <c r="K45" i="7"/>
  <c r="P49" i="7"/>
  <c r="Q49" i="7"/>
  <c r="U49" i="7"/>
  <c r="O49" i="7"/>
  <c r="V45" i="7"/>
  <c r="W45" i="7"/>
  <c r="J49" i="7"/>
  <c r="S49" i="7"/>
  <c r="M45" i="7"/>
  <c r="R35" i="7"/>
  <c r="J75" i="7"/>
  <c r="U75" i="7"/>
  <c r="N19" i="7"/>
  <c r="P45" i="7"/>
  <c r="R63" i="7"/>
  <c r="J23" i="7"/>
  <c r="O45" i="7"/>
  <c r="S59" i="7"/>
  <c r="M55" i="7"/>
  <c r="Q55" i="7"/>
  <c r="S55" i="7"/>
  <c r="W59" i="7"/>
  <c r="N55" i="7"/>
  <c r="T59" i="7"/>
  <c r="F58" i="7"/>
  <c r="H58" i="7" s="1"/>
  <c r="K55" i="7"/>
  <c r="V59" i="7"/>
  <c r="L59" i="7"/>
  <c r="R59" i="7"/>
  <c r="P55" i="7"/>
  <c r="M59" i="7"/>
  <c r="U59" i="7"/>
  <c r="Q9" i="7"/>
  <c r="Q75" i="7"/>
  <c r="N11" i="7"/>
  <c r="S11" i="7"/>
  <c r="K11" i="7"/>
  <c r="O11" i="7"/>
  <c r="Q11" i="7"/>
  <c r="F10" i="7"/>
  <c r="H10" i="7" s="1"/>
  <c r="L11" i="7"/>
  <c r="U11" i="7"/>
  <c r="W11" i="7"/>
  <c r="J45" i="7"/>
  <c r="R11" i="7"/>
  <c r="T11" i="7"/>
  <c r="M11" i="7"/>
  <c r="S29" i="7"/>
  <c r="V35" i="7"/>
  <c r="N67" i="7"/>
  <c r="T27" i="7"/>
  <c r="J13" i="7"/>
  <c r="L13" i="7"/>
  <c r="S13" i="7"/>
  <c r="V23" i="7"/>
  <c r="N53" i="7"/>
  <c r="O13" i="7"/>
  <c r="M23" i="7"/>
  <c r="V27" i="7"/>
  <c r="V13" i="7"/>
  <c r="U55" i="7"/>
  <c r="V53" i="7"/>
  <c r="M27" i="7"/>
  <c r="U27" i="7"/>
  <c r="V29" i="7"/>
  <c r="L27" i="7"/>
  <c r="S27" i="7"/>
  <c r="W27" i="7"/>
  <c r="R27" i="7"/>
  <c r="P27" i="7"/>
  <c r="R13" i="7"/>
  <c r="K23" i="7"/>
  <c r="M29" i="7"/>
  <c r="K21" i="7"/>
  <c r="R29" i="7"/>
  <c r="O29" i="7"/>
  <c r="P17" i="7"/>
  <c r="O51" i="7"/>
  <c r="S21" i="7"/>
  <c r="V42" i="6"/>
  <c r="R34" i="6"/>
  <c r="M9" i="7"/>
  <c r="O17" i="7"/>
  <c r="R21" i="7"/>
  <c r="Q51" i="7"/>
  <c r="P21" i="7"/>
  <c r="V21" i="7"/>
  <c r="J21" i="7"/>
  <c r="L21" i="7"/>
  <c r="N21" i="7"/>
  <c r="P9" i="7"/>
  <c r="L15" i="7"/>
  <c r="T21" i="7"/>
  <c r="O9" i="7"/>
  <c r="K9" i="7"/>
  <c r="R9" i="7"/>
  <c r="L42" i="6"/>
  <c r="Q42" i="6"/>
  <c r="T17" i="7"/>
  <c r="S17" i="7"/>
  <c r="Q27" i="7"/>
  <c r="S45" i="7"/>
  <c r="P41" i="7"/>
  <c r="J35" i="7"/>
  <c r="Q57" i="7"/>
  <c r="J67" i="7"/>
  <c r="L19" i="7"/>
  <c r="V19" i="7"/>
  <c r="P29" i="7"/>
  <c r="R55" i="7"/>
  <c r="U13" i="7"/>
  <c r="O42" i="6"/>
  <c r="S9" i="7"/>
  <c r="R42" i="6"/>
  <c r="U42" i="6"/>
  <c r="J51" i="7"/>
  <c r="N17" i="7"/>
  <c r="G34" i="6"/>
  <c r="V51" i="7"/>
  <c r="V17" i="7"/>
  <c r="N51" i="7"/>
  <c r="Q15" i="7"/>
  <c r="W51" i="7"/>
  <c r="U21" i="7"/>
  <c r="L34" i="6"/>
  <c r="S41" i="6"/>
  <c r="J42" i="6"/>
  <c r="R15" i="7"/>
  <c r="R51" i="7"/>
  <c r="J15" i="7"/>
  <c r="O78" i="7"/>
  <c r="S35" i="7"/>
  <c r="J59" i="7"/>
  <c r="S67" i="7"/>
  <c r="P11" i="7"/>
  <c r="T78" i="7"/>
  <c r="P63" i="7"/>
  <c r="N35" i="7"/>
  <c r="L57" i="7"/>
  <c r="N75" i="7"/>
  <c r="O15" i="7"/>
  <c r="M25" i="7"/>
  <c r="U41" i="7"/>
  <c r="R45" i="7"/>
  <c r="L55" i="7"/>
  <c r="N42" i="6"/>
  <c r="O34" i="6"/>
  <c r="T34" i="6"/>
  <c r="Q34" i="6"/>
  <c r="J34" i="6"/>
  <c r="T42" i="6"/>
  <c r="U78" i="7"/>
  <c r="M47" i="7"/>
  <c r="K17" i="7"/>
  <c r="W15" i="7"/>
  <c r="V15" i="7"/>
  <c r="W21" i="7"/>
  <c r="R17" i="7"/>
  <c r="N47" i="7"/>
  <c r="Q21" i="7"/>
  <c r="T51" i="7"/>
  <c r="P47" i="7"/>
  <c r="S47" i="7"/>
  <c r="F16" i="7"/>
  <c r="H16" i="7" s="1"/>
  <c r="W17" i="7"/>
  <c r="V34" i="6"/>
  <c r="W34" i="6"/>
  <c r="E50" i="7"/>
  <c r="G50" i="7" s="1"/>
  <c r="S15" i="7"/>
  <c r="F14" i="7"/>
  <c r="H14" i="7" s="1"/>
  <c r="N15" i="7"/>
  <c r="J17" i="7"/>
  <c r="J47" i="7"/>
  <c r="M21" i="7"/>
  <c r="S42" i="6"/>
  <c r="Q78" i="7"/>
  <c r="N34" i="6"/>
  <c r="P42" i="6"/>
  <c r="T15" i="7"/>
  <c r="V41" i="6"/>
  <c r="W42" i="6"/>
  <c r="U34" i="6"/>
  <c r="M15" i="7"/>
  <c r="S34" i="6"/>
  <c r="W41" i="6"/>
  <c r="S78" i="7"/>
  <c r="U17" i="7"/>
  <c r="L51" i="7"/>
  <c r="O47" i="7"/>
  <c r="V9" i="7"/>
  <c r="M34" i="6"/>
  <c r="R41" i="6"/>
  <c r="P41" i="6"/>
  <c r="E34" i="6"/>
  <c r="S51" i="7"/>
  <c r="M17" i="7"/>
  <c r="H34" i="6"/>
  <c r="N41" i="6"/>
  <c r="U41" i="6"/>
  <c r="M42" i="6"/>
  <c r="O21" i="7"/>
  <c r="J78" i="7"/>
  <c r="M51" i="7"/>
  <c r="L17" i="7"/>
  <c r="P51" i="7"/>
  <c r="U51" i="7"/>
  <c r="L41" i="6"/>
  <c r="T41" i="6"/>
  <c r="T31" i="7"/>
  <c r="S31" i="7"/>
  <c r="N31" i="7"/>
  <c r="L31" i="7"/>
  <c r="K31" i="7"/>
  <c r="W31" i="7" s="1"/>
  <c r="J31" i="7"/>
  <c r="V31" i="7"/>
  <c r="R31" i="7"/>
  <c r="J9" i="7"/>
  <c r="R78" i="7"/>
  <c r="W78" i="7"/>
  <c r="F8" i="7"/>
  <c r="H8" i="7" s="1"/>
  <c r="N29" i="7"/>
  <c r="Q41" i="6"/>
  <c r="O23" i="7"/>
  <c r="L43" i="7"/>
  <c r="W4" i="7"/>
  <c r="B33" i="7"/>
  <c r="N33" i="7" s="1"/>
  <c r="L78" i="7"/>
  <c r="Q43" i="7"/>
  <c r="P34" i="6"/>
  <c r="O41" i="6"/>
  <c r="R37" i="7"/>
  <c r="N37" i="7"/>
  <c r="K37" i="7"/>
  <c r="J37" i="7"/>
  <c r="V37" i="7"/>
  <c r="T37" i="7"/>
  <c r="S37" i="7"/>
  <c r="L37" i="7"/>
  <c r="P78" i="7"/>
  <c r="L9" i="7"/>
  <c r="Q13" i="7"/>
  <c r="J43" i="7"/>
  <c r="U19" i="7"/>
  <c r="O43" i="7"/>
  <c r="T36" i="7"/>
  <c r="S36" i="7"/>
  <c r="N36" i="7"/>
  <c r="L36" i="7"/>
  <c r="K36" i="7"/>
  <c r="J36" i="7"/>
  <c r="V36" i="7"/>
  <c r="R36" i="7"/>
  <c r="O37" i="7"/>
  <c r="K43" i="7"/>
  <c r="J41" i="6"/>
  <c r="B34" i="6"/>
  <c r="K35" i="6" s="1"/>
  <c r="M43" i="7"/>
  <c r="V78" i="7"/>
  <c r="M78" i="7"/>
  <c r="R43" i="7"/>
  <c r="N78" i="7"/>
  <c r="W9" i="7"/>
  <c r="V43" i="7"/>
  <c r="L6" i="7"/>
  <c r="K6" i="7"/>
  <c r="J6" i="7"/>
  <c r="T19" i="7"/>
  <c r="AC3" i="12"/>
  <c r="J30" i="7"/>
  <c r="W30" i="7" s="1"/>
  <c r="V30" i="7"/>
  <c r="S30" i="7"/>
  <c r="R30" i="7"/>
  <c r="N30" i="7"/>
  <c r="L30" i="7"/>
  <c r="T30" i="7"/>
  <c r="K30" i="7"/>
  <c r="T3" i="12"/>
  <c r="U43" i="7"/>
  <c r="F34" i="6"/>
  <c r="P43" i="7"/>
  <c r="W43" i="7"/>
  <c r="K5" i="7"/>
  <c r="J5" i="7"/>
  <c r="L5" i="7"/>
  <c r="U9" i="7"/>
  <c r="M41" i="6"/>
  <c r="N9" i="7"/>
  <c r="N43" i="7"/>
  <c r="S43" i="7"/>
  <c r="J29" i="7"/>
  <c r="B7" i="7"/>
  <c r="N7" i="7" s="1"/>
  <c r="X3" i="12"/>
  <c r="R39" i="7"/>
  <c r="S39" i="7"/>
  <c r="T39" i="7"/>
  <c r="V39" i="7"/>
  <c r="L39" i="7"/>
  <c r="J39" i="7"/>
  <c r="L7" i="7" l="1"/>
  <c r="K7" i="7"/>
  <c r="J7" i="7"/>
  <c r="R7" i="7"/>
  <c r="R35" i="6"/>
  <c r="B78" i="7"/>
  <c r="K79" i="7" s="1"/>
  <c r="X42" i="6"/>
  <c r="G78" i="7"/>
  <c r="X41" i="6"/>
  <c r="E78" i="7"/>
  <c r="N35" i="6"/>
  <c r="F78" i="7"/>
  <c r="H78" i="7"/>
  <c r="R33" i="7"/>
  <c r="O35" i="6"/>
  <c r="J33" i="7"/>
  <c r="U35" i="6"/>
  <c r="W35" i="6"/>
  <c r="P35" i="6"/>
  <c r="L35" i="6"/>
  <c r="M35" i="6"/>
  <c r="J35" i="6"/>
  <c r="S35" i="6"/>
  <c r="Q35" i="6"/>
  <c r="V35" i="6"/>
  <c r="T35" i="6"/>
  <c r="W36" i="7"/>
  <c r="V33" i="7"/>
  <c r="L33" i="7"/>
  <c r="S33" i="7"/>
  <c r="T33" i="7"/>
  <c r="W37" i="7"/>
  <c r="W39" i="7"/>
  <c r="W7" i="7" l="1"/>
  <c r="V79" i="7"/>
  <c r="J79" i="7"/>
  <c r="X43" i="6"/>
  <c r="S79" i="7"/>
  <c r="N79" i="7"/>
  <c r="M79" i="7"/>
  <c r="T79" i="7"/>
  <c r="P79" i="7"/>
  <c r="Q79" i="7"/>
  <c r="O79" i="7"/>
  <c r="W79" i="7"/>
  <c r="L79" i="7"/>
  <c r="R79" i="7"/>
  <c r="U79" i="7"/>
  <c r="W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Vinčálková Hana</author>
  </authors>
  <commentList>
    <comment ref="K68" authorId="0" shapeId="0" xr:uid="{CA7049B1-B267-4B47-984A-00E61487A6E6}">
      <text>
        <r>
          <rPr>
            <b/>
            <sz val="9"/>
            <color indexed="81"/>
            <rFont val="Tahoma"/>
            <family val="2"/>
            <charset val="238"/>
          </rPr>
          <t>Vinčálková Hana:</t>
        </r>
        <r>
          <rPr>
            <sz val="9"/>
            <color indexed="81"/>
            <rFont val="Tahoma"/>
            <family val="2"/>
            <charset val="238"/>
          </rPr>
          <t xml:space="preserve">
vráceno - celá částka</t>
        </r>
      </text>
    </comment>
  </commentList>
</comments>
</file>

<file path=xl/sharedStrings.xml><?xml version="1.0" encoding="utf-8"?>
<sst xmlns="http://schemas.openxmlformats.org/spreadsheetml/2006/main" count="7837" uniqueCount="1551">
  <si>
    <t>Poř. číslo</t>
  </si>
  <si>
    <t xml:space="preserve"> Název poskytovatele</t>
  </si>
  <si>
    <t>IČO</t>
  </si>
  <si>
    <t>Sídlo</t>
  </si>
  <si>
    <t>Registrační číslo</t>
  </si>
  <si>
    <t>Druh sociální služby</t>
  </si>
  <si>
    <t>Výše dotace v Kč</t>
  </si>
  <si>
    <t>01.</t>
  </si>
  <si>
    <t>Fokus Semily, z.s.</t>
  </si>
  <si>
    <t>Nad Školami 480, 513 01 Semily</t>
  </si>
  <si>
    <t>§ 70 sociální rehabilitace</t>
  </si>
  <si>
    <t>02.</t>
  </si>
  <si>
    <t>§ 67 sociálně terapeutické dílny</t>
  </si>
  <si>
    <t>03.</t>
  </si>
  <si>
    <t xml:space="preserve"> Tichý svět,   </t>
  </si>
  <si>
    <t>Staňkovská 378, 198 00 Praha 9</t>
  </si>
  <si>
    <t xml:space="preserve"> o.p.s.</t>
  </si>
  <si>
    <t>04.</t>
  </si>
  <si>
    <t>NADĚJE</t>
  </si>
  <si>
    <t>K Brance 11/19e, 155 00 Praha 13 – Stodůlky</t>
  </si>
  <si>
    <t>§ 63 noclehárny</t>
  </si>
  <si>
    <t>05.</t>
  </si>
  <si>
    <t>K Brance 11/19e, 155 00 Praha 13-Stodůlky</t>
  </si>
  <si>
    <t>§ 61 nízkoprahová denní centra</t>
  </si>
  <si>
    <t>06.</t>
  </si>
  <si>
    <t>§ 57 azylové domy</t>
  </si>
  <si>
    <t>07.</t>
  </si>
  <si>
    <t>§ 69 terénní programy</t>
  </si>
  <si>
    <t>08.</t>
  </si>
  <si>
    <t>09.</t>
  </si>
  <si>
    <t>10.</t>
  </si>
  <si>
    <t>11.</t>
  </si>
  <si>
    <t>12.</t>
  </si>
  <si>
    <t>CENTRUM PRO ZDRAVOTNĚ POSTIŽENÉ Libereckého kraje, o.p.s.</t>
  </si>
  <si>
    <t>Zahradní 415/10, 460 01 Liberec XI-Růžodol I</t>
  </si>
  <si>
    <t>§ 39 osobní asistence</t>
  </si>
  <si>
    <t>13.</t>
  </si>
  <si>
    <t>14.</t>
  </si>
  <si>
    <t>15.</t>
  </si>
  <si>
    <t>16.</t>
  </si>
  <si>
    <t>§ 56 tlumočnické služby</t>
  </si>
  <si>
    <t>17.</t>
  </si>
  <si>
    <t>§ 44 odlehčovací služby</t>
  </si>
  <si>
    <t>18.</t>
  </si>
  <si>
    <t>19.</t>
  </si>
  <si>
    <t>20.</t>
  </si>
  <si>
    <t>21.</t>
  </si>
  <si>
    <t>LAMPA, z. s.</t>
  </si>
  <si>
    <t>Husova 89, 471 24 Mimoň</t>
  </si>
  <si>
    <t>22.</t>
  </si>
  <si>
    <t>Charita Liberec</t>
  </si>
  <si>
    <t>Uhlířská 424/7, 460 01 Liberec XI-Růžodol</t>
  </si>
  <si>
    <t>§ 49 domovy pro seniory</t>
  </si>
  <si>
    <t>23.</t>
  </si>
  <si>
    <t>24.</t>
  </si>
  <si>
    <t>25.</t>
  </si>
  <si>
    <t>Rodina24 z. ú.</t>
  </si>
  <si>
    <t>Nerudova 3113/17, 466 01 Jablonec nad Nisou</t>
  </si>
  <si>
    <t>26.</t>
  </si>
  <si>
    <t>§ 50 domovy se zvláštním režimem</t>
  </si>
  <si>
    <t>27.</t>
  </si>
  <si>
    <t>Společnost Dolmen, z.ú.</t>
  </si>
  <si>
    <t>nám. Českých bratří 36/1, 460 05 Liberec V-Kristiánov</t>
  </si>
  <si>
    <t>§ 43 podpora samostatného bydlení</t>
  </si>
  <si>
    <t>28.</t>
  </si>
  <si>
    <t>§ 51 chráněné bydlení</t>
  </si>
  <si>
    <t>29.</t>
  </si>
  <si>
    <t>30.</t>
  </si>
  <si>
    <t>Déčko Liberec z.s.</t>
  </si>
  <si>
    <t>Švermova 32/35, 460 10 Liberec X-Františkov</t>
  </si>
  <si>
    <t>§ 37 odborné sociální poradenství</t>
  </si>
  <si>
    <t>31.</t>
  </si>
  <si>
    <t>Domov U Spasitele, středisko Husitské diakonie</t>
  </si>
  <si>
    <t>Máchova 650, 464 01 Frýdlant v Čechách</t>
  </si>
  <si>
    <t>32.</t>
  </si>
  <si>
    <t>Centrum LIRA, z.ú.</t>
  </si>
  <si>
    <t>Matoušova 406/20, 460 07 Liberec III-Jeřáb</t>
  </si>
  <si>
    <t>§ 54 raná péče</t>
  </si>
  <si>
    <t>33.</t>
  </si>
  <si>
    <t>§ 65 sociálně aktivizační služby pro rodiny s dětmi</t>
  </si>
  <si>
    <t>34.</t>
  </si>
  <si>
    <t>REVA o.p.s.</t>
  </si>
  <si>
    <t>Na Perštýně 352/33, 460 01 Liberec IV-Perštýn</t>
  </si>
  <si>
    <t>35.</t>
  </si>
  <si>
    <t>Ruprechtický farní spolek</t>
  </si>
  <si>
    <t>Divoká 1186, 460 14 Liberec</t>
  </si>
  <si>
    <t>§ 46 denní stacionáře</t>
  </si>
  <si>
    <t>36.</t>
  </si>
  <si>
    <t>Diecézní charita Litoměřice</t>
  </si>
  <si>
    <t>Kosmonautů 2022, Předměstí, 412 01 Litoměřice</t>
  </si>
  <si>
    <t>§ 40 pečovatelská služba</t>
  </si>
  <si>
    <t>37.</t>
  </si>
  <si>
    <t>Hospic sv. Zdislavy, o.p.s.</t>
  </si>
  <si>
    <t>Pod Perštýnem 321/1, 460 01 Liberec IV-Perštýn</t>
  </si>
  <si>
    <t>38.</t>
  </si>
  <si>
    <t>39.</t>
  </si>
  <si>
    <t>40.</t>
  </si>
  <si>
    <t>Národní ústav pro autismus, z.ú.</t>
  </si>
  <si>
    <t>V Holešovičkách 593, 182 00 Praha</t>
  </si>
  <si>
    <t>41.</t>
  </si>
  <si>
    <t>42.</t>
  </si>
  <si>
    <t>43.</t>
  </si>
  <si>
    <t>44.</t>
  </si>
  <si>
    <t>§ 66 sociálně aktivizační služby pro seniory a osoby se zdravotním postižením</t>
  </si>
  <si>
    <t>45.</t>
  </si>
  <si>
    <t>Rytmus Liberec, o.p.s.</t>
  </si>
  <si>
    <t>Palachova 504/7, 460 01 Liberec I-Staré Město</t>
  </si>
  <si>
    <t>46.</t>
  </si>
  <si>
    <t>Maják NMPS, z. ú.</t>
  </si>
  <si>
    <t>Švermova 853, 463 65 Nové Město pod Smrkem</t>
  </si>
  <si>
    <t>§ 62 nízkoprahová zařízení pro děti a mládež</t>
  </si>
  <si>
    <t>47.</t>
  </si>
  <si>
    <t>48.</t>
  </si>
  <si>
    <t>MAREVA z.s.</t>
  </si>
  <si>
    <t>Na Pískovně 657/24, 460 14 Liberec XIV-Ruprechtice</t>
  </si>
  <si>
    <t>49.</t>
  </si>
  <si>
    <t>Anděl strážný, z. ú.</t>
  </si>
  <si>
    <t>Fügnerovo nám. 1808/3, 120 00 Praha 2</t>
  </si>
  <si>
    <t>§ 41 tísňová péče</t>
  </si>
  <si>
    <t>50.</t>
  </si>
  <si>
    <t>Návrat, o.p.s.</t>
  </si>
  <si>
    <t>Široká 304/68, 460 07 Liberec III-Jeřáb</t>
  </si>
  <si>
    <t>51.</t>
  </si>
  <si>
    <t>Maják Hrádek z.ú.</t>
  </si>
  <si>
    <t>Moskevská 438, 463 34 Hrádek nad Nisou</t>
  </si>
  <si>
    <t>52.</t>
  </si>
  <si>
    <t>Buona Strada, s.r.o.</t>
  </si>
  <si>
    <t>Venušina 554/6, 460 01 Liberec I-Staré Město</t>
  </si>
  <si>
    <t>53.</t>
  </si>
  <si>
    <t>ADVAITA, z.ú.</t>
  </si>
  <si>
    <t>Rumunská 14/6, 460 01 Liberec IV-Perštýn</t>
  </si>
  <si>
    <t>54.</t>
  </si>
  <si>
    <t>§ 64 služby náslené péče</t>
  </si>
  <si>
    <t>55.</t>
  </si>
  <si>
    <t>§ 68 terapeutické komunity</t>
  </si>
  <si>
    <t>56.</t>
  </si>
  <si>
    <t>Občanské sdružení D.R.A.K. z.s.</t>
  </si>
  <si>
    <t>Oblačná 450/1, 460 05 Liberec V-Kristiánov</t>
  </si>
  <si>
    <t>57.</t>
  </si>
  <si>
    <t>58.</t>
  </si>
  <si>
    <t>59.</t>
  </si>
  <si>
    <t>60.</t>
  </si>
  <si>
    <t>61.</t>
  </si>
  <si>
    <t>Tyfloservis, o.p.s.</t>
  </si>
  <si>
    <t>Krakovská 1685/21, 110 00 Praha</t>
  </si>
  <si>
    <t>62.</t>
  </si>
  <si>
    <t>Oblastní charita Jičín</t>
  </si>
  <si>
    <t>Na jihu 553, 506 01 Jičín-Nové Město</t>
  </si>
  <si>
    <t>63.</t>
  </si>
  <si>
    <t>Spokojený domov, o.p.s.</t>
  </si>
  <si>
    <t>Na Návsi 44, Veselá, 295 01 Mnichovo Hradiště</t>
  </si>
  <si>
    <t>64.</t>
  </si>
  <si>
    <t>65.</t>
  </si>
  <si>
    <t>66.</t>
  </si>
  <si>
    <t>MCU KOLOSEUM, o.p.s.</t>
  </si>
  <si>
    <t>Generála Svobody 83/47, 460 01 Liberec XIII-Nové Pavlovice</t>
  </si>
  <si>
    <t>67.</t>
  </si>
  <si>
    <t>Most k naději, z.s.</t>
  </si>
  <si>
    <t>Petra Jilemnického 1929/9, 434 01 Most</t>
  </si>
  <si>
    <t>§ 58 domy na půl cesty</t>
  </si>
  <si>
    <t>68.</t>
  </si>
  <si>
    <t>§ 59 kontaktní centra</t>
  </si>
  <si>
    <t>69.</t>
  </si>
  <si>
    <t>70.</t>
  </si>
  <si>
    <t>71.</t>
  </si>
  <si>
    <t>72.</t>
  </si>
  <si>
    <t>Diakonie Beránek z.s.</t>
  </si>
  <si>
    <t>1. máje 868/11, 460 07 Liberec III-Jeřáb</t>
  </si>
  <si>
    <t>73.</t>
  </si>
  <si>
    <t>Charita Česká Lípa</t>
  </si>
  <si>
    <t>Dubická 992/14, 470 01 Česká Lípa</t>
  </si>
  <si>
    <t>74.</t>
  </si>
  <si>
    <t>75.</t>
  </si>
  <si>
    <t>76.</t>
  </si>
  <si>
    <t>Romodrom o.p.s.</t>
  </si>
  <si>
    <t>Rybná 24/716, 110 00 Praha 1-Staré Město</t>
  </si>
  <si>
    <t>77.</t>
  </si>
  <si>
    <t>78.</t>
  </si>
  <si>
    <t>DH Liberec, o.p.s.</t>
  </si>
  <si>
    <t>Vlčí vrch 323, 4160 15 Liberec - Starý Harcov</t>
  </si>
  <si>
    <t>§ 48 domovy pro osoby se zdravotním postižením</t>
  </si>
  <si>
    <t>79.</t>
  </si>
  <si>
    <t>80.</t>
  </si>
  <si>
    <t>81.</t>
  </si>
  <si>
    <t>82.</t>
  </si>
  <si>
    <t>Diakonie ČCE – středisko              v Jablonci nad Nisou</t>
  </si>
  <si>
    <t>5. května 193/2, 466 01 Jablonec nad Nisou</t>
  </si>
  <si>
    <t>83.</t>
  </si>
  <si>
    <t>84.</t>
  </si>
  <si>
    <t>6. května 193/2, 466 01 Jablonec nad Nisou</t>
  </si>
  <si>
    <t>85.</t>
  </si>
  <si>
    <t>86.</t>
  </si>
  <si>
    <t>Člověk v tísni, o.p.s.</t>
  </si>
  <si>
    <t>Šafaříkova 24/635, 120 00 Praha 2-Vinohrady</t>
  </si>
  <si>
    <t>87.</t>
  </si>
  <si>
    <t>88.</t>
  </si>
  <si>
    <t>89.</t>
  </si>
  <si>
    <t>FOKUS Liberec o.p.s.</t>
  </si>
  <si>
    <t>Nezvalova 662/18, 460 15 Liberec XV-Starý Harcov</t>
  </si>
  <si>
    <t>90.</t>
  </si>
  <si>
    <t>91.</t>
  </si>
  <si>
    <t>92.</t>
  </si>
  <si>
    <t>93.</t>
  </si>
  <si>
    <t>94.</t>
  </si>
  <si>
    <t>Alzheimercentrum Česká Lípa z.ú.</t>
  </si>
  <si>
    <t xml:space="preserve">U Nemocnice 2696, Česká Lípa, 470 06 Česká Lípa </t>
  </si>
  <si>
    <t>95.</t>
  </si>
  <si>
    <t>Alvalída z.s.</t>
  </si>
  <si>
    <t>Hanychovská 743/3, 460 10 Liberec</t>
  </si>
  <si>
    <t>96.</t>
  </si>
  <si>
    <t>Rodina v centru, z.ú.</t>
  </si>
  <si>
    <t>Křižíkova 980, 473 01 Nový Bor</t>
  </si>
  <si>
    <t>97.</t>
  </si>
  <si>
    <t>98.</t>
  </si>
  <si>
    <t>99.</t>
  </si>
  <si>
    <t>FOKUS Turnov, z.s.</t>
  </si>
  <si>
    <t>Skálova 415, 511 01 Turnov</t>
  </si>
  <si>
    <t>100.</t>
  </si>
  <si>
    <t>101.</t>
  </si>
  <si>
    <t>§ 45 centra denních služeb</t>
  </si>
  <si>
    <t>102.</t>
  </si>
  <si>
    <t>103.</t>
  </si>
  <si>
    <t>Maják Plus, z.ú.</t>
  </si>
  <si>
    <t>Konopná 776/8, Liberec XIV-Ruprechtice, 460 14 Liberec</t>
  </si>
  <si>
    <t>104.</t>
  </si>
  <si>
    <t>Sdružení TULIPAN, z.s.</t>
  </si>
  <si>
    <t>Sokolská 113/8, 460 01 Liberec I – Staré Město</t>
  </si>
  <si>
    <t>106.</t>
  </si>
  <si>
    <t>Česká unie neslyšících, z.ú.</t>
  </si>
  <si>
    <t>Dlouhá 37, 110 00 Praha</t>
  </si>
  <si>
    <t>107.</t>
  </si>
  <si>
    <t>Celkem</t>
  </si>
  <si>
    <t>prevence</t>
  </si>
  <si>
    <t>vratka - projekt</t>
  </si>
  <si>
    <t>MPSV+Kraj (+MPSV IP) 2021</t>
  </si>
  <si>
    <t>vratka - Snílek</t>
  </si>
  <si>
    <t>vzdání se - Světlo ve Vrchlabí</t>
  </si>
  <si>
    <t>péče</t>
  </si>
  <si>
    <t>Poskytovatel - název</t>
  </si>
  <si>
    <t>Právní forma</t>
  </si>
  <si>
    <t>Služba - číslo</t>
  </si>
  <si>
    <t>Služba - paragraf</t>
  </si>
  <si>
    <t>Forma</t>
  </si>
  <si>
    <t>1. kolo MPSV
2021</t>
  </si>
  <si>
    <t>2. kolo MPSV
2021</t>
  </si>
  <si>
    <t>3. kolo MPSV
2021</t>
  </si>
  <si>
    <t>MPSV celkem
2021</t>
  </si>
  <si>
    <t>Předfinancování 2021</t>
  </si>
  <si>
    <t>Dofinancování 
2021</t>
  </si>
  <si>
    <t>Kompenzace IP
2021</t>
  </si>
  <si>
    <t>Dotace od obcí
2021</t>
  </si>
  <si>
    <t>Příspěvěk zřizovatele - kraj
2021</t>
  </si>
  <si>
    <t>Jiné dotace LK
2021</t>
  </si>
  <si>
    <t>1. kolo MPSV
2022</t>
  </si>
  <si>
    <t>2. kolo MPSV
2022</t>
  </si>
  <si>
    <t>Dofinancování MPSV 2022</t>
  </si>
  <si>
    <t>MPSV celkem
2022</t>
  </si>
  <si>
    <t>Předfinancování 2022</t>
  </si>
  <si>
    <t>Individuální dotace
2022</t>
  </si>
  <si>
    <t>Protidrogová politika 2022</t>
  </si>
  <si>
    <t>Financování celkem
2022</t>
  </si>
  <si>
    <t>1. kolo MPSV
2023</t>
  </si>
  <si>
    <t>Předfinancování 
2023</t>
  </si>
  <si>
    <t>Individuální dotace 2023</t>
  </si>
  <si>
    <t>Protidrogová politika 2023</t>
  </si>
  <si>
    <t>Financování celkem
2023</t>
  </si>
  <si>
    <t>ADVAITA, z. ú.</t>
  </si>
  <si>
    <t>Ústav</t>
  </si>
  <si>
    <t>§37 - Odborné sociální poradenství</t>
  </si>
  <si>
    <t>ambulantní</t>
  </si>
  <si>
    <t>§64 - Služby následné péče</t>
  </si>
  <si>
    <t>ambulantní a pobytová</t>
  </si>
  <si>
    <t>Podpořený rok</t>
  </si>
  <si>
    <t>2019 dofinancování</t>
  </si>
  <si>
    <t>2021 dofinancování</t>
  </si>
  <si>
    <t>2021 dofinancování IP</t>
  </si>
  <si>
    <t>2022 dofinancování</t>
  </si>
  <si>
    <t>§68 - Terapeutické komunity</t>
  </si>
  <si>
    <t>pobytová</t>
  </si>
  <si>
    <t>Alokace celkem pro kraj</t>
  </si>
  <si>
    <t>AHC a.s.</t>
  </si>
  <si>
    <t>24160369</t>
  </si>
  <si>
    <t>Akciová společnost</t>
  </si>
  <si>
    <t>§44 - Odlehčovací služby</t>
  </si>
  <si>
    <t xml:space="preserve">Požadavek kraje </t>
  </si>
  <si>
    <t>§49 - Domovy pro seniory</t>
  </si>
  <si>
    <t>Uspokojení požadavku kraje (v Kč)</t>
  </si>
  <si>
    <t>Alvalída, z.s.</t>
  </si>
  <si>
    <t>Spolek</t>
  </si>
  <si>
    <t>§46 - Denní stacionáře</t>
  </si>
  <si>
    <t>§50 - Domovy se zvláštním režimem</t>
  </si>
  <si>
    <t>Anděl Strážný, z.ú.</t>
  </si>
  <si>
    <t>02771527</t>
  </si>
  <si>
    <t>§41 - Tísňová péče</t>
  </si>
  <si>
    <t>terénní</t>
  </si>
  <si>
    <t>APOSS Liberec, příspěvková organizace</t>
  </si>
  <si>
    <t>PO kraje</t>
  </si>
  <si>
    <t>§45 - Centra denních služeb</t>
  </si>
  <si>
    <t>§48 - Domovy pro osoby se zdravotním postižením</t>
  </si>
  <si>
    <t>Bílý kruh bezpečí, z.s.</t>
  </si>
  <si>
    <t>ambulantní a terénní</t>
  </si>
  <si>
    <t>04570243</t>
  </si>
  <si>
    <t>Společnost s ručením omezeným</t>
  </si>
  <si>
    <t>Centrum intervenčních a psychosociálních služeb Libereckého kraje, příspěvková organizace</t>
  </si>
  <si>
    <t>§55 - Telefonická krizová pomoc</t>
  </si>
  <si>
    <t>§60a) - Intervenční centra</t>
  </si>
  <si>
    <t>Přístav 3V, z. ú.</t>
  </si>
  <si>
    <t>spolek</t>
  </si>
  <si>
    <t>§66 - Sociálně aktivizační služby pro seniory a osoby se zdravotním postižením</t>
  </si>
  <si>
    <t>MPSV</t>
  </si>
  <si>
    <t>Dotace od kraje</t>
  </si>
  <si>
    <t>Kompentace IP
(MPSV)</t>
  </si>
  <si>
    <t>Dotace od obcí</t>
  </si>
  <si>
    <t>§54 - Raná péče</t>
  </si>
  <si>
    <t>§65 - Sociálně aktivizační služby pro rodiny s dětmi</t>
  </si>
  <si>
    <t>z aktualizovaného Podílu zadavatelů</t>
  </si>
  <si>
    <t>Centrum pro dětský sluch Tamtam, o.p.s.</t>
  </si>
  <si>
    <t>00499811</t>
  </si>
  <si>
    <t>Obecně prospěšná společnost</t>
  </si>
  <si>
    <t>Centrum pro integraci cizinců, o.p.s.</t>
  </si>
  <si>
    <t>26631997</t>
  </si>
  <si>
    <t>§39 - Osobní asistence</t>
  </si>
  <si>
    <t>§56 - Tlumočnické služby</t>
  </si>
  <si>
    <t>Centrum sociálních služeb Jablonec nad Nisou, p.o.</t>
  </si>
  <si>
    <t>Příspěvková organizace zřízená územním samosprávným celkem</t>
  </si>
  <si>
    <t>§40 - Pečovatelská služba</t>
  </si>
  <si>
    <t>Centrum zdravotní a sociální péče Liberec, příspěvková organizace</t>
  </si>
  <si>
    <t>Compitum, z.s.</t>
  </si>
  <si>
    <t>Česká unie neslyšících, z.s.</t>
  </si>
  <si>
    <t>00675547</t>
  </si>
  <si>
    <t>§62 - Nízkoprahová zařízení pro děti a mládež</t>
  </si>
  <si>
    <t>§69 - Terénní programy</t>
  </si>
  <si>
    <t>Denní a pobytové sociální služby, příspěvková organizace</t>
  </si>
  <si>
    <t>Dětské centrum Jilemnice, příspěvková organizace</t>
  </si>
  <si>
    <t>§47 - Týdenní stacionáře</t>
  </si>
  <si>
    <t>Dětské centrum Semily, příspěvková organizace</t>
  </si>
  <si>
    <t>00856134</t>
  </si>
  <si>
    <t>§51 - Chráněné bydlení</t>
  </si>
  <si>
    <t>§67 - Sociálně terapeutické dílny</t>
  </si>
  <si>
    <t>Diakonie ČCE - středisko Světlo ve Vrchlabí</t>
  </si>
  <si>
    <t>Církve a náboženské společnosti</t>
  </si>
  <si>
    <t>Diakonie ČCE - středisko v Jablonci nad Nisou</t>
  </si>
  <si>
    <t>DIAKONIE DUBÁ z.s.</t>
  </si>
  <si>
    <t>§70 - Sociální rehabilitace</t>
  </si>
  <si>
    <t>Domov a Centrum aktivity, příspěvková organizace</t>
  </si>
  <si>
    <t>Domov a Centrum denních služeb Jablonec nad Nisou, příspěvková organizace</t>
  </si>
  <si>
    <t>Domov důchodců a dům s pečovatelskou službou Zákupy, příspěvková organizace</t>
  </si>
  <si>
    <t>Domov důchodců Český Dub, příspěvková organizace</t>
  </si>
  <si>
    <t>Domov důchodců Jablonecké Paseky, příspěvková organizace</t>
  </si>
  <si>
    <t>Domov důchodců Jindřichovice pod Smrkem, příspěvková organizace</t>
  </si>
  <si>
    <t>Domov důchodců Rokytnice nad Jizerou, příspěvková organizace</t>
  </si>
  <si>
    <t>00085782</t>
  </si>
  <si>
    <t>Domov důchodců Sloup v Čechách, příspěvková organizace</t>
  </si>
  <si>
    <t>Domov důchodců Velké Hamry, příspěvková organizace</t>
  </si>
  <si>
    <t>Domov pro seniory Vratislavice nad Nisou, příspěvková organizace</t>
  </si>
  <si>
    <t>Domov Raspenava, příspěvková organizace</t>
  </si>
  <si>
    <t>Domov Sluneční dvůr, příspěvková organizace</t>
  </si>
  <si>
    <t>Domov U Spasitele, středisko Diakonie a misie Církve československé husitské</t>
  </si>
  <si>
    <t>DS Sychrov s.r.o.</t>
  </si>
  <si>
    <t>Dům penzion pro důchodce, příspěvková organizace</t>
  </si>
  <si>
    <t>Dům seniorů Liberec - Františkov, příspěvková organizace</t>
  </si>
  <si>
    <t>ELVA HELP z.s.</t>
  </si>
  <si>
    <t>Pobočný spolek</t>
  </si>
  <si>
    <t>Farní charita Česká Lípa</t>
  </si>
  <si>
    <t>§57 - Azylové domy</t>
  </si>
  <si>
    <t>§43 - Podpora samostatného bydlení</t>
  </si>
  <si>
    <t>FOKUS Semily, z.s.</t>
  </si>
  <si>
    <t>Jedličkův ústav, příspěvková organizace</t>
  </si>
  <si>
    <t>LAMPA,  z.s.</t>
  </si>
  <si>
    <t>Laxus z. ú.</t>
  </si>
  <si>
    <t>Lucie Brožková</t>
  </si>
  <si>
    <t>Fyzická osoba podnikající dle živnostenského zákona zapsaná v obchodním rejstříku</t>
  </si>
  <si>
    <t>zapsaný ústav</t>
  </si>
  <si>
    <t>Maják NMPS, z.ú.</t>
  </si>
  <si>
    <t>Zapsaný ústav</t>
  </si>
  <si>
    <t>01679198</t>
  </si>
  <si>
    <t>Mateřská škola a Základní škola Sluníčko Turnov, příspěvková organizace</t>
  </si>
  <si>
    <t>Město Cvikov</t>
  </si>
  <si>
    <t>00260410</t>
  </si>
  <si>
    <t>Obec</t>
  </si>
  <si>
    <t>Město Desná</t>
  </si>
  <si>
    <t>00262307</t>
  </si>
  <si>
    <t>Město Frýdlant</t>
  </si>
  <si>
    <t>00262781</t>
  </si>
  <si>
    <t>Město Hodkovice nad Mohelkou</t>
  </si>
  <si>
    <t>00262820</t>
  </si>
  <si>
    <t>Město Chrastava</t>
  </si>
  <si>
    <t>00262871</t>
  </si>
  <si>
    <t>Město Jablonné v Podještědí</t>
  </si>
  <si>
    <t>00260576</t>
  </si>
  <si>
    <t>Město Jilemnice</t>
  </si>
  <si>
    <t>00275808</t>
  </si>
  <si>
    <t>Město Kamenický Šenov</t>
  </si>
  <si>
    <t>00260622</t>
  </si>
  <si>
    <t>Město Nové Město pod Smrkem</t>
  </si>
  <si>
    <t>00263036</t>
  </si>
  <si>
    <t>Město Raspenava</t>
  </si>
  <si>
    <t>00263141</t>
  </si>
  <si>
    <t>Město Rychnov u Jablonce nad Nisou</t>
  </si>
  <si>
    <t>00262552</t>
  </si>
  <si>
    <t>Město Stráž pod Ralskem</t>
  </si>
  <si>
    <t>00260967</t>
  </si>
  <si>
    <t>Město Velké Hamry</t>
  </si>
  <si>
    <t>00262595</t>
  </si>
  <si>
    <t>Město Železný Brod</t>
  </si>
  <si>
    <t>00262633</t>
  </si>
  <si>
    <t>§58 - Domy na půl cesty</t>
  </si>
  <si>
    <t>§59 - Kontaktní centra</t>
  </si>
  <si>
    <t>00570931</t>
  </si>
  <si>
    <t>§61 - Nízkoprahová denní centra</t>
  </si>
  <si>
    <t>§63 - Noclehárny</t>
  </si>
  <si>
    <t xml:space="preserve">Návrat, o.p.s. </t>
  </si>
  <si>
    <t>Nemocnice Jablonec nad Nisou, p.o.</t>
  </si>
  <si>
    <t>00829838</t>
  </si>
  <si>
    <t>§52 - Sociální služby poskytované ve zdravotnických zařízeních ústavní péče</t>
  </si>
  <si>
    <t>Nemocnice následné péče s poliklinikou Lomnice nad Popelkou</t>
  </si>
  <si>
    <t>00854875</t>
  </si>
  <si>
    <t>Nemocnice s poliklinikou Česká Lípa, a. s.</t>
  </si>
  <si>
    <t>Obec Horní Branná</t>
  </si>
  <si>
    <t>00275735</t>
  </si>
  <si>
    <t>Obec Horní Police</t>
  </si>
  <si>
    <t>00524662</t>
  </si>
  <si>
    <t>Obec Karlovice</t>
  </si>
  <si>
    <t>00275824</t>
  </si>
  <si>
    <t>Obec Mírová pod Kozákovem</t>
  </si>
  <si>
    <t>00275913</t>
  </si>
  <si>
    <t>Obec Poniklá</t>
  </si>
  <si>
    <t>00276006</t>
  </si>
  <si>
    <t>Obec Příšovice</t>
  </si>
  <si>
    <t>00263125</t>
  </si>
  <si>
    <t>73633755</t>
  </si>
  <si>
    <t>Oblastní charita Liberec</t>
  </si>
  <si>
    <t>Oblastní charita Most</t>
  </si>
  <si>
    <t>OSTARA, příspěvková organizace</t>
  </si>
  <si>
    <t>PAMPELIŠKA, o.p.s.</t>
  </si>
  <si>
    <t>Pečovatelská služba Český Dub - příspěvková organizace</t>
  </si>
  <si>
    <t>Pečovatelská služba Hrádek nad Nisou,příspěvková organizace</t>
  </si>
  <si>
    <t>Pečovatelská služba Lomnice nad Popelkou, příspěvková organizace</t>
  </si>
  <si>
    <t>REVA o. p. s.</t>
  </si>
  <si>
    <t>ROZKOŠ bez RIZIKA, z.s.</t>
  </si>
  <si>
    <t>SANREPO, o.p.s.</t>
  </si>
  <si>
    <t>SAREMA LIBEREC s.r.o.</t>
  </si>
  <si>
    <t>Sdružení zdravotně postižených Česká Lípa, o.p.s.</t>
  </si>
  <si>
    <t>02107538</t>
  </si>
  <si>
    <t>26672472</t>
  </si>
  <si>
    <t>SeneCura SeniorCentrum Liberec s.r.o.</t>
  </si>
  <si>
    <t>SeniA z.s.</t>
  </si>
  <si>
    <t>SLUNCE VŠEM, zapsaný spolek</t>
  </si>
  <si>
    <t>Služby sociální péče TEREZA, příspěvková organizace</t>
  </si>
  <si>
    <t>00193771</t>
  </si>
  <si>
    <t>Snílek,  o. p. s.</t>
  </si>
  <si>
    <t>Sociální služby města České Lípy, příspěvková organizace</t>
  </si>
  <si>
    <t>Sociální služby města Doksy, příspěvková organizace</t>
  </si>
  <si>
    <t>Sociální služby města Mimoň, příspěvková organizace</t>
  </si>
  <si>
    <t>Sociální služby města Nový Bor, příspěvková organizace</t>
  </si>
  <si>
    <t>Sociální služby Semily, příspěvková organizace</t>
  </si>
  <si>
    <t>00854930</t>
  </si>
  <si>
    <t>Tichý svět, o.p.s.</t>
  </si>
  <si>
    <t>TyfloCentrum Liberec, o.p.s.</t>
  </si>
  <si>
    <t>§42 - Průvodcovské a předčítatelské služby</t>
  </si>
  <si>
    <t>ZDRAVOŠ PÉČE s.r.o.</t>
  </si>
  <si>
    <t>03781224</t>
  </si>
  <si>
    <t>Zdravotně sociální služby Turnov</t>
  </si>
  <si>
    <t>00854883</t>
  </si>
  <si>
    <t>ŽIVOT 90, z.ú.</t>
  </si>
  <si>
    <t>00571709</t>
  </si>
  <si>
    <t>ALZHEIMER HOME z.ú.</t>
  </si>
  <si>
    <t>03593207</t>
  </si>
  <si>
    <t>Domov seniorů Vratislavice, příspěvková organizace</t>
  </si>
  <si>
    <t>Dům seniorů Františkov, Liberec, příspěvková organizace</t>
  </si>
  <si>
    <t>700333919</t>
  </si>
  <si>
    <t>Správa uprchlických zařízení Ministerstva vnitra ČR</t>
  </si>
  <si>
    <t>Organizační složka státu</t>
  </si>
  <si>
    <t>Identifikátor služby</t>
  </si>
  <si>
    <t>1. kolo MPSV</t>
  </si>
  <si>
    <t>2. kolo MPSV</t>
  </si>
  <si>
    <t>3. kolo MPSV</t>
  </si>
  <si>
    <t>Dofinancování 2021</t>
  </si>
  <si>
    <t>Příspěvek zřizovatele LK</t>
  </si>
  <si>
    <t>Dofinancování MPSV
2022</t>
  </si>
  <si>
    <t>Identifikator</t>
  </si>
  <si>
    <t>Druh služby</t>
  </si>
  <si>
    <t>MPSV celkem</t>
  </si>
  <si>
    <t>Rozdíl</t>
  </si>
  <si>
    <t>o kolik % je to míň?</t>
  </si>
  <si>
    <t>o kolik míň pouze předfinancování?</t>
  </si>
  <si>
    <t>o kolik míň pouze individuální?</t>
  </si>
  <si>
    <t>Účelová neinvestiční dotace ze státního rozpočtu - kapitola 313 MPSV (finanční podpora v letech 2015 - 2022) v Kč</t>
  </si>
  <si>
    <t>Sdružení tělesně postižených Česká Lípa, o.p.s.</t>
  </si>
  <si>
    <t>COMPITUM, z.s.</t>
  </si>
  <si>
    <t>Charita Most</t>
  </si>
  <si>
    <t>identifikátor</t>
  </si>
  <si>
    <t>ident</t>
  </si>
  <si>
    <t>KAPACITA _úvazky PPP -
celkem_2021</t>
  </si>
  <si>
    <t>Kapacita_lůžka - celkem 2021</t>
  </si>
  <si>
    <t>§60a - Intervenční centra</t>
  </si>
  <si>
    <t>§42 - Průvodcovské a předčitatelské služby</t>
  </si>
  <si>
    <t>§50 - domovy se zvláštním režimem</t>
  </si>
  <si>
    <t>Poskytovatel, poskytovaná služba, služba</t>
  </si>
  <si>
    <t>§</t>
  </si>
  <si>
    <t>Úvazky</t>
  </si>
  <si>
    <t>Lůžka</t>
  </si>
  <si>
    <t>VYROVNÁVACÍ PLATBA dle poslední schválené aktualizace Základní sítě Libereckého kraje (P_6VP)</t>
  </si>
  <si>
    <t>VÝNOSY - ZDROJE - CELKEM (P_6VZNZ)</t>
  </si>
  <si>
    <t>VÝNOSY - ZDROJE: 1.1. Veřejné zdroje - CELKEM (P_6VZ)</t>
  </si>
  <si>
    <t>VÝNOSY - ZDROJE: 1.1. Veřejné zdroje - Finanční podpora z rozpočtu Libereckého kraje - dotace MPSV (P_6VZMPSV)</t>
  </si>
  <si>
    <t>VÝNOSY - ZDROJE: 1.1. Veřejné zdroje - Finanční podpora z rozpočtu Libereckého kraje - příspěvek zřizovatele (vyplňují pouze příspěvkové organizace Libereckého kraje) (P_6VZLKPO)</t>
  </si>
  <si>
    <t>VÝNOSY - ZDROJE: 1.1. Veřejné zdroje - Finanční podpora z rozpočtu Libereckého kraje (P_6VZLK)</t>
  </si>
  <si>
    <t>VÝNOSY - ZDROJE: 1.1. Veřejné zdroje - Finanční podpora z rozpočtu Ústeckého kraje (P_6VZKB)</t>
  </si>
  <si>
    <t>VÝNOSY - ZDROJE: 1.1. Veřejné zdroje - Finanční podpora z rozpočtu Středočeského kraje (P_6VZKA)</t>
  </si>
  <si>
    <t>VÝNOSY - ZDROJE: 1.1. Veřejné zdroje - Finanční podpora z rozpočtu Královéhradeckého kraje (P_6VZKC)</t>
  </si>
  <si>
    <t>VÝNOSY - ZDROJE: 1.1. Veřejné zdroje - Finanční podpora z rozpočtu ostatních krajů (do poznámky uveďte kraj) (P_6VZKD)</t>
  </si>
  <si>
    <t>VÝNOSY - ZDROJE: 1.1. Veřejné zdroje - Dotace od obcí - celkem (P_6VZODO)</t>
  </si>
  <si>
    <t>VÝNOSY - ZDROJE: 1.1. Veřejné zdroje - Příspěvek zřizovatele - obce (P_6VZOPO)</t>
  </si>
  <si>
    <t>VÝNOSY - ZDROJE: 1.1. Veřejné zdroje - Strukturální fondy (P_6VZEU)</t>
  </si>
  <si>
    <t>VÝNOSY - ZDROJE: 1.1. Veřejné zdroje - příspěvky od ÚP (financování základních činností) (P_6VZUP)</t>
  </si>
  <si>
    <t>VÝNOSY - ZDROJE: 1.1. Veřejné zdroje - Zvýhodněný nájem od veřejného subjektu - rozdíl mezi sníženým nájemným a tržním nájmem v místě a čase obvyklém (P_6NZZNV)</t>
  </si>
  <si>
    <t>VÝNOSY - ZDROJE: 1.1. Veřejné zdroje - Jiné zdroje (do poznámky uveďte jaké) (P_6VZOT)</t>
  </si>
  <si>
    <t>VÝNOSY - ZDROJE: Neveřejné zdroje - CELKEM (P_6NZ)</t>
  </si>
  <si>
    <t>VÝNOSY - ZDROJE: Úhrady od uživatelů služby (P_6NZUH)</t>
  </si>
  <si>
    <t>VÝNOSY - ZDROJE: Příspěvky od ÚP (P_6NZUP)</t>
  </si>
  <si>
    <t>VÝNOSY - ZDROJE: Fondy zdravotních pojišťoven (P_6NZZP)</t>
  </si>
  <si>
    <t>VÝNOSY - ZDROJE: Obec - příspěvek vlastní obce - vyplňují pouze poskytovatelé - OBCE (P_6NZOB)</t>
  </si>
  <si>
    <t>VÝNOSY - ZDROJE: Nadace, sponzoři, dary (P_6NZNA)</t>
  </si>
  <si>
    <t>VÝNOSY - ZDROJE: Vlastní zdroje (např. z fakultativních činností) (P_6NZVZ)</t>
  </si>
  <si>
    <t>VÝNOSY - ZDROJE: Zvýhodněný nájem od neveřejného subjektu - rozdíl mezi sníženým nájemným a tržním nájmem v místě a čase obvyklém (P_6NZZN)</t>
  </si>
  <si>
    <t>VÝNOSY - ZDROJE: Jiné zdroje (do poznámky uveďte jaké) (P_6NZOT)</t>
  </si>
  <si>
    <t>VÝNOSY - ZDROJE: COVID-19 - CELKEM (P_C19_S)</t>
  </si>
  <si>
    <t>VÝNOSY - ZDROJE: COVID-19 - Program podpory E - Oblast 1) Na financování zvýšených provozních nákladů (P_C19_E1)</t>
  </si>
  <si>
    <t>VÝNOSY - ZDROJE: COVID-19 - Program podpory E - Oblast 2) Na dorovnání výpadku zdrojů (P_C19_E2)</t>
  </si>
  <si>
    <t>VÝNOSY - ZDROJE: COVID-19 - Program podpory C - Dotace na podporu mimořádného finančního ohodnocení zamestnanců v soc. službách (P_C19_C)</t>
  </si>
  <si>
    <t>VÝNOSY - ZDROJE: COVID-19 - Dotace na úhradu výdajů, které poskytovatelům vznikly v důsledku povinného testování (P_C19_D)</t>
  </si>
  <si>
    <t>služby sociální péče</t>
  </si>
  <si>
    <t>CENTRUM PRO ZDRAVOTNĚ POSTIŽENÉ Libereckého kraje, o.p.s.; Osobní asistence Semily; §39 - Osobní asistence</t>
  </si>
  <si>
    <t>CENTRUM PRO ZDRAVOTNĚ POSTIŽENÉ Libereckého kraje, o.p.s.; Osobní asistence Jablonec nad Nisou; §39 - Osobní asistence</t>
  </si>
  <si>
    <t>CENTRUM PRO ZDRAVOTNĚ POSTIŽENÉ Libereckého kraje, o.p.s.; Osobní asistence Česká Lípa; §39 - Osobní asistence</t>
  </si>
  <si>
    <t>CENTRUM PRO ZDRAVOTNĚ POSTIŽENÉ Libereckého kraje, o.p.s.; Osobní asistence Liberec; §39 - Osobní asistence</t>
  </si>
  <si>
    <t>DH Liberec, o.p.s.; DH Liberec o.p.s. - Osobní asistence; §39 - Osobní asistence</t>
  </si>
  <si>
    <t>Mateřská a Základní škola Sluníčko Turnov, příspěvková organizace; Osobní asistence; §39 - Osobní asistence</t>
  </si>
  <si>
    <t>MCU KOLOSEUM, o.p.s.; MCU KOLOSEUM, o.p.s.; §39 - Osobní asistence</t>
  </si>
  <si>
    <t>Reva o. p. s.; Reva o. p. s.; §39 - Osobní asistence</t>
  </si>
  <si>
    <t>Rodina24 z. ú.; Rodina24; §39 - Osobní asistence</t>
  </si>
  <si>
    <t>Spokojený domov, o.p.s.; Osobní asistence; §39 - Osobní asistence</t>
  </si>
  <si>
    <t>Denní a pobytové sociální služby, příspěvková organizace; Domov pro osoby se zdravotním postižením; §48 - Domovy pro osoby se zdravotním postižením</t>
  </si>
  <si>
    <t>DH Liberec, o.p.s.; DH Liberec, o.p.s. - DOZP; §48 - Domovy pro osoby se zdravotním postižením</t>
  </si>
  <si>
    <t>Domov a Centrum aktivity, příspěvková organizace; Domov a Centrum aktivity,p.o. Domov pro osoby se zdrav. postižením; §48 - Domovy pro osoby se zdravotním postižením</t>
  </si>
  <si>
    <t>Domov a Centrum denních služeb Jablonec nad Nisou, příspěvková organizace; Domovy pro osoby se zdravotním postižením; §48 - Domovy pro osoby se zdravotním postižením</t>
  </si>
  <si>
    <t>OSTARA, příspěvková organizace; OSTARA, příspěvková organizace; §48 - Domovy pro osoby se zdravotním postižením</t>
  </si>
  <si>
    <t>Domov Raspenava, příspěvková organizace; Domov pro osoby se zdravotním postižením; §48 - Domovy pro osoby se zdravotním postižením</t>
  </si>
  <si>
    <t>Domov Sluneční dvůr, příspěvková organizace; Domov Sluneční dvůr, příspěvková organizace; §48 - Domovy pro osoby se zdravotním postižením</t>
  </si>
  <si>
    <t>Jedličkův ústav, příspěvková organizace; Jedličkův ústav, p.o., Domov pro osoby se zdravotním postižením - Dům E; §48 - Domovy pro osoby se zdravotním postižením</t>
  </si>
  <si>
    <t>AHC a.s.; Senior centrum Nový Bor; §49 - Domovy pro seniory</t>
  </si>
  <si>
    <t>Domov důchodců a dům s pečovatelskou službou Zákupy, příspěvková organizace; Domovy pro seniory; §49 - Domovy pro seniory</t>
  </si>
  <si>
    <t>Domov důchodců Český Dub, příspěvková organizace; Domovy pro seniory; §49 - Domovy pro seniory</t>
  </si>
  <si>
    <t>Domov důchodců Jablonecké Paseky, příspěvková organizace; Domov pro seniory; §49 - Domovy pro seniory</t>
  </si>
  <si>
    <t>Domov důchodců Jindřichovice pod Smrkem, příspěvková organizace; Domov důchodců Jindřichovice pod Smrkem, p.o.; §49 - Domovy pro seniory</t>
  </si>
  <si>
    <t>Centrum sociálních služeb Jablonec nad Nisou, p.o.; Pečovatelská služba; §40 - Pečovatelská služba</t>
  </si>
  <si>
    <t>Centrum zdravotní a sociální péče Liberec, příspěvková organizace; Pečovatelská služba - terénní; §40 - Pečovatelská služba</t>
  </si>
  <si>
    <t>Diakonie Beránek z.s.; Diakonie Beránek z.s.; §40 - Pečovatelská služba</t>
  </si>
  <si>
    <t>Diakonie ČCE - středisko v Jablonci nad Nisou; Terénní pečovatelská služba; §40 - Pečovatelská služba</t>
  </si>
  <si>
    <t>Diecézní charita Litoměřice; Charitní pečovatelská služba; §40 - Pečovatelská služba</t>
  </si>
  <si>
    <t>Domov důchodců a dům s pečovatelskou službou Zákupy, příspěvková organizace; Pečovatelská služba - terénní; §40 - Pečovatelská služba</t>
  </si>
  <si>
    <t>Sociální služby města Doksy, příspěvková organizace; Terénní pečovatelská služba; §40 - Pečovatelská služba</t>
  </si>
  <si>
    <t>Dům penzion pro důchodce, příspěvková organizace; Dům penzion pro důchodce; §40 - Pečovatelská služba</t>
  </si>
  <si>
    <t>Lucie Brožková; KDP Sluníčko; §40 - Pečovatelská služba</t>
  </si>
  <si>
    <t>MAREVA z.s.; Pečovatelská služba; §40 - Pečovatelská služba</t>
  </si>
  <si>
    <t>Město Cvikov; Pečovatelská služba Cvikov; §40 - Pečovatelská služba</t>
  </si>
  <si>
    <t>Město Desná; Město Desná; §40 - Pečovatelská služba</t>
  </si>
  <si>
    <t>Město Frýdlant; Středisko sociální péče Frýdlant; §40 - Pečovatelská služba</t>
  </si>
  <si>
    <t>Město Hodkovice nad Mohelkou; Pečovatelská služba Hodkovice nad Mohelkou; §40 - Pečovatelská služba</t>
  </si>
  <si>
    <t>Město Chrastava; Pečovatelská služba; §40 - Pečovatelská služba</t>
  </si>
  <si>
    <t>Město Jablonné v Podještědí; Pečovatelská služba; §40 - Pečovatelská služba</t>
  </si>
  <si>
    <t>Město Jilemnice; Pečovatelská služba; §40 - Pečovatelská služba</t>
  </si>
  <si>
    <t>Město Kamenický Šenov; Pečovatelská služba; §40 - Pečovatelská služba</t>
  </si>
  <si>
    <t>Město Nové Město pod Smrkem; Terénní pečovatelská služba; §40 - Pečovatelská služba</t>
  </si>
  <si>
    <t>MĚSTO RASPENAVA; Sociální služby; §40 - Pečovatelská služba</t>
  </si>
  <si>
    <t>Město Rychnov u Jablonce nad Nisou; Pečovatelská služba; §40 - Pečovatelská služba</t>
  </si>
  <si>
    <t>Město Stráž pod Ralskem; Pečovatelská služba města Stráž pod Ralskem; §40 - Pečovatelská služba</t>
  </si>
  <si>
    <t>Město Velké Hamry; Město Velké Hamry; §40 - Pečovatelská služba</t>
  </si>
  <si>
    <t>Město Železný Brod; Pečovatelská služba; §40 - Pečovatelská služba</t>
  </si>
  <si>
    <t>Obec Horní Branná; DPS Horní Branná; §40 - Pečovatelská služba</t>
  </si>
  <si>
    <t>OBEC HORNÍ POLICE; Obec Horní Police; §40 - Pečovatelská služba</t>
  </si>
  <si>
    <t>Obec Karlovice; Pečovatelská služba Radvánovice; §40 - Pečovatelská služba</t>
  </si>
  <si>
    <t>Obec Mírová pod Kozákovem; Pečovatelská služba Mírová pod Kozákovem; §40 - Pečovatelská služba</t>
  </si>
  <si>
    <t>Obec Poniklá; Dům s pečovatelskou službou Poniklá; §40 - Pečovatelská služba</t>
  </si>
  <si>
    <t>Obec Příšovice; Dům s pečovatelskou službou; §40 - Pečovatelská služba</t>
  </si>
  <si>
    <t>Pečovatelská služba Český Dub, příspěvková organizace; Pečovatelská služba; §40 - Pečovatelská služba</t>
  </si>
  <si>
    <t>Pečovatelská služba Hrádek nad Nisou, příspěvková organizace; Pečovatelská služba Hrádek nad Nisou; §40 - Pečovatelská služba</t>
  </si>
  <si>
    <t>Sociální služby města České Lípy, příspěvková organizace; Pečovatelská služba; §40 - Pečovatelská služba</t>
  </si>
  <si>
    <t>Sociální služby města Mimoň, příspěvková organizace; Pečovatelská služba; §40 - Pečovatelská služba</t>
  </si>
  <si>
    <t>Sociální služby města Nový Bor, příspěvková organizace; Pečovatelská služba; §40 - Pečovatelská služba</t>
  </si>
  <si>
    <t>Sociální služby Semily, příspěvková organizace; Pečovatelská služba; §40 - Pečovatelská služba</t>
  </si>
  <si>
    <t>Spokojený domov, o.p.s.; Pečovatelská služba; §40 - Pečovatelská služba</t>
  </si>
  <si>
    <t>ZDRAVOŠ PÉČE s.r.o.; ZDRAVOŠ PÉČE s.r.o.; §40 - Pečovatelská služba</t>
  </si>
  <si>
    <t>Zdravotně sociální služby Turnov; Terénní pečovatelská služba; §40 - Pečovatelská služba</t>
  </si>
  <si>
    <t>Anděl strážný, z.ú.; Tísňová péče; §41 - Tísňová péče</t>
  </si>
  <si>
    <t>Život 90, z. ú.; ŽIVOT 90 - Tísňová péče pro seniory a osoby se zdravotním postižením; §41 - Tísňová péče</t>
  </si>
  <si>
    <t>TyfloCentrum Liberec o. p. s.; průvodcovské a předčitatelské služby -Liberec; §42 - Průvodcovské a předčítatelské služby</t>
  </si>
  <si>
    <t>FOKUS Liberec o.p.s.; Podpora samostatného bydlení; §43 - Podpora samostatného bydlení</t>
  </si>
  <si>
    <t>FOKUS Turnov, z.s.; FOKUS Turnov; §43 - Podpora samostatného bydlení</t>
  </si>
  <si>
    <t>Společnost Dolmen, z.ú.; Společnost Dolmen, z.ú.; §43 - Podpora samostatného bydlení</t>
  </si>
  <si>
    <t>AHC a.s.; Senior centrum Nový Bor; §44 - Odlehčovací služby</t>
  </si>
  <si>
    <t>CENTRUM PRO ZDRAVOTNĚ POSTIŽENÉ Libereckého kraje, o.p.s.; Odlehčovací služby Česká Lípa; §44 - Odlehčovací služby</t>
  </si>
  <si>
    <t>CENTRUM PRO ZDRAVOTNĚ POSTIŽENÉ Libereckého kraje, o.p.s.; Odlehčovací služby Liberec; §44 - Odlehčovací služby</t>
  </si>
  <si>
    <t>CENTRUM PRO ZDRAVOTNĚ POSTIŽENÉ Libereckého kraje, o.p.s.; Odlehčovací služby Jablonec nad Nisou; §44 - Odlehčovací služby</t>
  </si>
  <si>
    <t>CENTRUM PRO ZDRAVOTNĚ POSTIŽENÉ Libereckého kraje, o.p.s.; Odlehčovací služby Semily; §44 - Odlehčovací služby</t>
  </si>
  <si>
    <t>Centrum sociálních služeb Jablonec nad Nisou, p.o.; Odlehčovací služby; §44 - Odlehčovací služby</t>
  </si>
  <si>
    <t>Centrum zdravotní a sociální péče Liberec, příspěvková organizace; Odlehčovací služba; §44 - Odlehčovací služby</t>
  </si>
  <si>
    <t>Hospic sv. Zdislavy, o.p.s.; Odlehčovací služba; §44 - Odlehčovací služby</t>
  </si>
  <si>
    <t>Národní ústav pro autismus, z.ú.; Odlehčovací služba; §44 - Odlehčovací služby</t>
  </si>
  <si>
    <t>SLUNCE VŠEM, zapsaný spolek; Odlehčovací služba; §44 - Odlehčovací služby</t>
  </si>
  <si>
    <t>Služby sociální péče TEREZA, příspěvková organizace; odlehčovací služby; §44 - Odlehčovací služby</t>
  </si>
  <si>
    <t>Sociální služby Semily, příspěvková organizace; Odlehčovací služba; §44 - Odlehčovací služby</t>
  </si>
  <si>
    <t>Spokojený domov, o.p.s.; Odlehčovací služby; §44 - Odlehčovací služby</t>
  </si>
  <si>
    <t>Zdravotně sociální služby Turnov; Domov důchodců Pohoda; §44 - Odlehčovací služby</t>
  </si>
  <si>
    <t>APOSS Liberec, příspěvková organizace; Centrum denních služeb; §45 - Centra denních služeb</t>
  </si>
  <si>
    <t>Domov a Centrum denních služeb Jablonec nad Nisou, příspěvková organizace; Centra denních služeb; §45 - Centra denních služeb</t>
  </si>
  <si>
    <t>FOKUS Turnov, z.s.; FOKUS Turnov; §45 - Centra denních služeb</t>
  </si>
  <si>
    <t>Jedličkův ústav, příspěvková organizace; Jedličkův ústav, p.o., Centrum denních služeb; §45 - Centra denních služeb</t>
  </si>
  <si>
    <t>SeniA; SeniA z.s.; §45 - Centra denních služeb</t>
  </si>
  <si>
    <t>SLUNCE VŠEM, zapsaný spolek; CENTRUM DENNÍCH SLUŽEB - SLUNCE VŠEM; §45 - Centra denních služeb</t>
  </si>
  <si>
    <t>Zdravotně sociální služby Turnov; Centrum denních služeb - domovinka; §45 - Centra denních služeb</t>
  </si>
  <si>
    <t>Alvalída, z. s.; Denní stacionář ALVALÍDA; §46 - Denní stacionáře</t>
  </si>
  <si>
    <t>Denní a pobytové sociální služby, příspěvková organizace; Denní stacionář; §46 - Denní stacionáře</t>
  </si>
  <si>
    <t>Dětské centrum Jilemnice, příspěvková organizace; Denní stacionář; §46 - Denní stacionáře</t>
  </si>
  <si>
    <t>Dětské centrum Semily, příspěvková organizace; Dětské centrum Semily - denní stacionáře; §46 - Denní stacionáře</t>
  </si>
  <si>
    <t>Sociální služby města Doksy, příspěvková organizace; Denní stacionář; §46 - Denní stacionáře</t>
  </si>
  <si>
    <t>Ruprechtický farní spolek; Denní stacionář pro seniory U Antonína, Liberec-Ruprechtice; §46 - Denní stacionáře</t>
  </si>
  <si>
    <t>Služby sociální péče TEREZA, příspěvková organizace; denní stacionář; §46 - Denní stacionáře</t>
  </si>
  <si>
    <t>Sociální služby města Nový Bor, příspěvková organizace; Denní stacionáře; §46 - Denní stacionáře</t>
  </si>
  <si>
    <t>Dětské centrum Jilemnice, příspěvková organizace; Týdenní stacionáře; §47 - Týdenní stacionáře</t>
  </si>
  <si>
    <t>Služby sociální péče TEREZA, příspěvková organizace; týdenní stacionář; §47 - Týdenní stacionáře</t>
  </si>
  <si>
    <t>APOSS Liberec, příspěvková organizace; Domov pro osoby se zdravotním postižením; §48 - Domovy pro osoby se zdravotním postižením</t>
  </si>
  <si>
    <t>služby sociálního poradenství</t>
  </si>
  <si>
    <t>ADVAITA, z. ú.; Ambulantní poradenství Advaita; §37 - Odborné sociální poradenství</t>
  </si>
  <si>
    <t>Centrum intervenčních a psychosociálních služeb Libereckého kraje, příspěvková organizace; Poradna pro rodinu, manželství a mezilidské vztahy Liberec; §37 - Odborné sociální poradenství</t>
  </si>
  <si>
    <t>Centrum intervenčních a psychosociálních služeb Libereckého kraje, příspěvková organizace; Poradna pro rodinu, manželství a mezilidské vztahy Česká Lípa; §37 - Odborné sociální poradenství</t>
  </si>
  <si>
    <t>Centrum intervenčních a psychosociálních služeb Libereckého kraje, příspěvková organizace; Poradna pro rodinu, manželství a mezilidské vztahy Jablonec n. N.; §37 - Odborné sociální poradenství</t>
  </si>
  <si>
    <t>CENTRUM PRO ZDRAVOTNĚ POSTIŽENÉ Libereckého kraje, o.p.s.; Odborné sociální poradenství Česká Lípa; §37 - Odborné sociální poradenství</t>
  </si>
  <si>
    <t>CENTRUM PRO ZDRAVOTNĚ POSTIŽENÉ Libereckého kraje, o.p.s.; Odborné sociální poradenství Semily; §37 - Odborné sociální poradenství</t>
  </si>
  <si>
    <t>CENTRUM PRO ZDRAVOTNĚ POSTIŽENÉ Libereckého kraje, o.p.s.; Odborné sociální poradenství Liberec; §37 - Odborné sociální poradenství</t>
  </si>
  <si>
    <t>CENTRUM PRO ZDRAVOTNĚ POSTIŽENÉ Libereckého kraje, o.p.s.; Odborné sociální poradenství Jablonec nad Nisou; §37 - Odborné sociální poradenství</t>
  </si>
  <si>
    <t>Člověk v tísni, o.p.s.; Odborné sociální poradenství; §37 - Odborné sociální poradenství</t>
  </si>
  <si>
    <t>Déčko Liberec z.s.; Občanská poradna Liberec; §37 - Odborné sociální poradenství</t>
  </si>
  <si>
    <t>ELVA HELP z.s.; ELVA HELP z.s.; §37 - Odborné sociální poradenství</t>
  </si>
  <si>
    <t>Hospic sv. Zdislavy, o.p.s.; Hospicové poradenství v nemoci, umírání. zármutku; §37 - Odborné sociální poradenství</t>
  </si>
  <si>
    <t>Laxus z. ú.; Centrum poradenských služeb pro obviněné a odsouzené; §37 - Odborné sociální poradenství</t>
  </si>
  <si>
    <t>Národní ústav pro autismus, z.ú.; Odborné sociální poradenství (ambulantní); §37 - Odborné sociální poradenství</t>
  </si>
  <si>
    <t>Občanské sdružení D.R.A.K.; Sociální poradenství; §37 - Odborné sociální poradenství</t>
  </si>
  <si>
    <t>Oblastní charita Most; Sociální poradna Tanvald; §37 - Odborné sociální poradenství</t>
  </si>
  <si>
    <t>služby sociální prevence</t>
  </si>
  <si>
    <t>Farní charita Česká Lípa; Klub KOULE Nízkoprahové zařízení pro děti a mládež; §62 - Nízkoprahová zařízení pro děti a mládež</t>
  </si>
  <si>
    <t>Oblastní charita Most; Nízkoprahové zařízení pro děti a mládež Drak; §62 - Nízkoprahová zařízení pro děti a mládež</t>
  </si>
  <si>
    <t>Oblastní charita Most; Nízkoprahová zařízení pro děti a mládež Zákupák; §62 - Nízkoprahová zařízení pro děti a mládež</t>
  </si>
  <si>
    <t>Oblastní charita Most; Nízkoprahové zařízení pro děti a mládež Tanvald; §62 - Nízkoprahová zařízení pro děti a mládež</t>
  </si>
  <si>
    <t>Rodina v centru, z.ú.; NZDM Vafle; §62 - Nízkoprahová zařízení pro děti a mládež</t>
  </si>
  <si>
    <t>NADĚJE; Dům Naděje Jablonec nad Nisou - noclehárna; §63 - Noclehárny</t>
  </si>
  <si>
    <t>NADĚJE; Středisko Naděje Liberec - noclehárna; §63 - Noclehárny</t>
  </si>
  <si>
    <t>Centrum LIRA, z. ú.; Centrum LIRA, z. ú.; §65 - Sociálně aktivizační služby pro rodiny s dětmi</t>
  </si>
  <si>
    <t>Compitum, z.s.; Sociálně aktivizační služby pro rodiny s dětmi; §65 - Sociálně aktivizační služby pro rodiny s dětmi</t>
  </si>
  <si>
    <t>Diakonie ČCE - středisko v Jablonci nad Nisou; – Sociálně aktivizační služby pro rodiny s dětmi; §65 - Sociálně aktivizační služby pro rodiny s dětmi</t>
  </si>
  <si>
    <t>Farní charita Česká Lípa; Startér; §65 - Sociálně aktivizační služby pro rodiny s dětmi</t>
  </si>
  <si>
    <t>Národní ústav pro autismus, z.ú.; Sociálně aktivizační služby pro rodiny s dětmi (terénní); §65 - Sociálně aktivizační služby pro rodiny s dětmi</t>
  </si>
  <si>
    <t>Občanské sdružení D.R.A.K.; Sociálně aktivizační služby pro rodiny s dětmi D.R.A.K.; §65 - Sociálně aktivizační služby pro rodiny s dětmi</t>
  </si>
  <si>
    <t>Česká unie neslyšících, z.ú.; CSS ČUN Liberec SAS; §66 - Sociálně aktivizační služby pro seniory a osoby se zdravotním postižením</t>
  </si>
  <si>
    <t>Národní ústav pro autismus, z.ú.; Sociálně aktivizační služby pro seniory a osoby se zdravotním postižením; §66 - Sociálně aktivizační služby pro seniory a osoby se zdravotním postižením</t>
  </si>
  <si>
    <t>Občanské sdružení D.R.A.K.; Sociálně aktivizační služby pro seniory a osoby se zdravotním postižením; §66 - Sociálně aktivizační služby pro seniory a osoby se zdravotním postižením</t>
  </si>
  <si>
    <t>Sdružení tělesně postižených Česká Lípa, o.p.s.; Sociálně aktivizační služby pro seniory a osoby se zdravotním postižením; §66 - Sociálně aktivizační služby pro seniory a osoby se zdravotním postižením</t>
  </si>
  <si>
    <t>TyfloCentrum Liberec o. p. s.; sociálně aktivizační služby pro zrakově postižené občany - Semily; §66 - Sociálně aktivizační služby pro seniory a osoby se zdravotním postižením</t>
  </si>
  <si>
    <t>DH Liberec, o.p.s.; DH Liberec, o.p.s. - STD; §67 - Sociálně terapeutické dílny</t>
  </si>
  <si>
    <t>Domov Raspenava, příspěvková organizace; Sociálně terapeutické dílny; §67 - Sociálně terapeutické dílny</t>
  </si>
  <si>
    <t>FOKUS Liberec o.p.s.; Sociálně terapeutické dílny; §67 - Sociálně terapeutické dílny</t>
  </si>
  <si>
    <t>FOKUS Semily, z.s.; Sociálně terapeutické dílny; §67 - Sociálně terapeutické dílny</t>
  </si>
  <si>
    <t>FOKUS Turnov, z.s.; FOKUS Turnov; §67 - Sociálně terapeutické dílny</t>
  </si>
  <si>
    <t>Společnost Dolmen, z.ú.; Společnost Dolmen, z.ú.; §67 - Sociálně terapeutické dílny</t>
  </si>
  <si>
    <t>Člověk v tísni, o.p.s.; Člověk v tísni, o.p.s. Programy sociální integrace - pobočka Liberec; §69 - Terénní programy</t>
  </si>
  <si>
    <t>LAMPA, z.s.; Centrum LAMPA - TP; §69 - Terénní programy</t>
  </si>
  <si>
    <t>Most k naději; Most k naději – Terénní program sociální prevence; §69 - Terénní programy</t>
  </si>
  <si>
    <t>Most k naději; Most k naději – Terénní programy pro uživatele drog; §69 - Terénní programy</t>
  </si>
  <si>
    <t>NADĚJE; Středisko Naděje Jablonec nad Nisou; §69 - Terénní programy</t>
  </si>
  <si>
    <t>NADĚJE; Středisko Naděje Liberec - terénní program; §69 - Terénní programy</t>
  </si>
  <si>
    <t>NADĚJE; Dům Naděje Jablonec nad Nisou; §69 - Terénní programy</t>
  </si>
  <si>
    <t>Občanské sdružení D.R.A.K.; Terénní programy; §69 - Terénní programy</t>
  </si>
  <si>
    <t>Romodrom, o.p.s.; Terénní programy - Liberecký kraj; §69 - Terénní programy</t>
  </si>
  <si>
    <t>Rozkoš bez rizika, z.s.; Rozkoš bez rizika; §69 - Terénní programy</t>
  </si>
  <si>
    <t>ELVA HELP z.s.; Sociální rehabilitace; §70 - Sociální rehabilitace</t>
  </si>
  <si>
    <t>Rytmus Liberec, o.p.s.; Rytmus Liberec, o.p.s.; §70 - Sociální rehabilitace</t>
  </si>
  <si>
    <t>Tichý svět, o.p.s.; Sociální rehabilitace; §70 - Sociální rehabilitace</t>
  </si>
  <si>
    <t>TyfloCentrum Liberec o. p. s.; Sociální rehabilitace; §70 - Sociální rehabilitace</t>
  </si>
  <si>
    <t>Domov důchodců Rokytnice nad Jizerou, příspěvková organizace; Domovy pro seniory; §49 - Domovy pro seniory</t>
  </si>
  <si>
    <t>Domov důchodců Velké Hamry, příspěvková organizace; Domov pro seniory; §49 - Domovy pro seniory</t>
  </si>
  <si>
    <t>Sociální služby města Doksy, příspěvková organizace; Domov pro seniory; §49 - Domovy pro seniory</t>
  </si>
  <si>
    <t>Domov pro seniory Vratislavice nad Nisou, příspěvková organizace; Domov pro seniory; §49 - Domovy pro seniory</t>
  </si>
  <si>
    <t>DOMOV U SPASITELE středisko Husitské diakonie; Domov pro seniory; §49 - Domovy pro seniory</t>
  </si>
  <si>
    <t>Dům seniorů Liberec - Františkov, příspěvková organizace; Domov pro seniory; §49 - Domovy pro seniory</t>
  </si>
  <si>
    <t>Oblastní charita Liberec; Domov sv. Vavřince; §49 - Domovy pro seniory</t>
  </si>
  <si>
    <t>PAMPELIŠKA, o.p.s.; Pampeliška - Domov pro seniory; §49 - Domovy pro seniory</t>
  </si>
  <si>
    <t>Sociální služby města České Lípy, příspěvková organizace; Domov pro seniory; §49 - Domovy pro seniory</t>
  </si>
  <si>
    <t>Sociální služby města Mimoň, příspěvková organizace; Domov důchodců Mimoň; §49 - Domovy pro seniory</t>
  </si>
  <si>
    <t>Sociální služby Semily, příspěvková organizace; Domov pro seniory; §49 - Domovy pro seniory</t>
  </si>
  <si>
    <t>Zdravotně sociální služby Turnov; Domov důchodců Pohoda; §49 - Domovy pro seniory</t>
  </si>
  <si>
    <t>Domov důchodců Český Dub, příspěvková organizace; Domov se zvláštním režimem; §50 - Domovy se zvláštním režimem</t>
  </si>
  <si>
    <t>Domov důchodců Jablonecké Paseky, příspěvková organizace; Domov se zvláštním režimem; §50 - Domovy se zvláštním režimem</t>
  </si>
  <si>
    <t>Domov důchodců Jindřichovice pod Smrkem, příspěvková organizace; Domov důchodců Jindřichovice pod Smrkem, p.o.; §50 - Domovy se zvláštním režimem</t>
  </si>
  <si>
    <t>Domov důchodců Rokytnice nad Jizerou, příspěvková organizace; Domovy se zvláštním režimem; §50 - Domovy se zvláštním režimem</t>
  </si>
  <si>
    <t>Domov důchodců Sloup v Čechách, příspěvková organizace; Domov se zvláštním režimem; §50 - Domovy se zvláštním režimem</t>
  </si>
  <si>
    <t>Domov pro seniory Vratislavice nad Nisou, příspěvková organizace; Domov se zvláštním režimem; §50 - Domovy se zvláštním režimem</t>
  </si>
  <si>
    <t>Dům seniorů Liberec - Františkov, příspěvková organizace; Domov se zvláštním režimem; §50 - Domovy se zvláštním režimem</t>
  </si>
  <si>
    <t>PAMPELIŠKA, o.p.s.; Pampeliška-domov se zvláštním režimem; §50 - Domovy se zvláštním režimem</t>
  </si>
  <si>
    <t>Rodina24 z. ú.; Vila Vitae; §50 - Domovy se zvláštním režimem</t>
  </si>
  <si>
    <t>Sociální služby Semily, příspěvková organizace; Domov se zvláštním režimem; §50 - Domovy se zvláštním režimem</t>
  </si>
  <si>
    <t>Zdravotně sociální služby Turnov; Domov důchodců Pohoda; §50 - Domovy se zvláštním režimem</t>
  </si>
  <si>
    <t>DH Liberec, o.p.s.; DH Liberec o.p.s. - Chráněné bydlení; §51 - Chráněné bydlení</t>
  </si>
  <si>
    <t>Domov a Centrum aktivity, příspěvková organizace; Domov a Centrum aktivity, p.o. chráněné byty; §51 - Chráněné bydlení</t>
  </si>
  <si>
    <t>FOKUS Liberec o.p.s.; Chráněné bydlení pro duševně nemocné; §51 - Chráněné bydlení</t>
  </si>
  <si>
    <t>Společnost Dolmen, z.ú.; Společnost Dolmen, z.ú.; §51 - Chráněné bydlení</t>
  </si>
  <si>
    <t>Nemocnice Jablonec nad Nisou, p.o.; Sociální služby poskytované ve zdravotnických zařízeních ústavní péče; §52 - Sociální služby poskytované ve zdravotnických zařízeních ústavní péče</t>
  </si>
  <si>
    <t>Nemocnice následné péče s poliklinikou Lomnice nad Popelkou; Nemocnice následné péče s poliklinikou Lomnice nad Popelkou; §52 - Sociální služby poskytované ve zdravotnických zařízeních ústavní péče</t>
  </si>
  <si>
    <t>Nemocnice s poliklinikou Česká Lípa, a. s.; Nemocnice s poliklinikou Česká Lípa; §52 - Sociální služby poskytované ve zdravotnických zařízeních ústavní péče</t>
  </si>
  <si>
    <t>Centrum LIRA, z. ú.; Centrum LIRA, z.ú.; §54 - Raná péče</t>
  </si>
  <si>
    <t>Centrum intervenčních a psychosociálních služeb Libereckého kraje, příspěvková organizace; Linka důvěry; §55 - Telefonická krizová pomoc</t>
  </si>
  <si>
    <t>Život 90, z. ú.; Život 90 - Linka důvěry pro seniory a jejich blízké; §55 - Telefonická krizová pomoc</t>
  </si>
  <si>
    <t>CENTRUM PRO ZDRAVOTNĚ POSTIŽENÉ Libereckého kraje, o.p.s.; Tlumočnické služby Liberecký kraj; §56 - Tlumočnické služby</t>
  </si>
  <si>
    <t>Farní charita Česká Lípa; Azylový dům Jonáš; §57 - Azylové domy</t>
  </si>
  <si>
    <t>NADĚJE; Dům Naděje Jablonec nad Nisou; §57 - Azylové domy</t>
  </si>
  <si>
    <t>Návrat, o.p.s.; Azylový dům Speramus; §57 - Azylové domy</t>
  </si>
  <si>
    <t>Oblastní charita Liberec; Domov pro matky s dětmi v tísni - Domov sv. Moniky; §57 - Azylové domy</t>
  </si>
  <si>
    <t>Oblastní charita Liberec; Domov pro matky s dětmi v tísni - Domov sv. Anny; §57 - Azylové domy</t>
  </si>
  <si>
    <t>Sociální služby města České Lípy, příspěvková organizace; Dům rychlé pomoci; §57 - Azylové domy</t>
  </si>
  <si>
    <t>Sociální služby města České Lípy, příspěvková organizace; Dům humanity; §57 - Azylové domy</t>
  </si>
  <si>
    <t>Most k naději; Dům na půl cesty; §58 - Domy na půl cesty</t>
  </si>
  <si>
    <t>Snílek, o.p.s.; Snílkův dům na půl cesty; §58 - Domy na půl cesty</t>
  </si>
  <si>
    <t>Most k naději; K-centrum - Centrum pro drogové závislosti - kontaktní centrum; §59 - Kontaktní centra</t>
  </si>
  <si>
    <t>Most k naději; K - centrum Liberec a Jablonec nad Nisou; §59 - Kontaktní centra</t>
  </si>
  <si>
    <t>Centrum intervenčních a psychosociálních služeb Libereckého kraje, příspěvková organizace; Intervenční centrum; §60a) - Intervenční centra</t>
  </si>
  <si>
    <t>NADĚJE; Dům Naděje Jablonec nad Nisou; §61 - Nízkoprahová denní centra</t>
  </si>
  <si>
    <t>NADĚJE; Středisko Naděje Liberec - Valdštejnská; §61 - Nízkoprahová denní centra</t>
  </si>
  <si>
    <t>Člověk v tísni, o.p.s.; Člověk v tísni, o.p.s., Programy sociální integrace; §62 - Nízkoprahová zařízení pro děti a mládež</t>
  </si>
  <si>
    <t>Diakonie ČCE - středisko v Jablonci nad Nisou; Nízkoprahové zařízení pro děti a mládež Kruháč; §62 - Nízkoprahová zařízení pro děti a mládež</t>
  </si>
  <si>
    <t>Jedličkův ústav, příspěvková organizace; Osobní asistence; §39 - Osobní asistence</t>
  </si>
  <si>
    <t>FOKUS Liberec o.p.s.; Sociální rehabilitace; §70 - Sociální rehabilitace</t>
  </si>
  <si>
    <t>Česká unie neslyšících, z.ú.; Tlumočnická služba ČUN (Liberecký kraj); §56 - Tlumočnické služby</t>
  </si>
  <si>
    <t>Oblastní charita Jičín; Sociálně aktivizační služba pro rodinu s dětmi - Semilsko; §65 - Sociálně aktivizační služby pro rodiny s dětmi</t>
  </si>
  <si>
    <t>Centrum zdravotní a sociální péče Liberec, příspěvková organizace; Domov KOPRETINA; §49 - Domovy pro seniory</t>
  </si>
  <si>
    <t>Diakonie ČCE - středisko v Jablonci nad Nisou; Nízkoprahová zařízení pro děti a mládež, klub Cajk; §62 - Nízkoprahová zařízení pro děti a mládež</t>
  </si>
  <si>
    <t>Občanské sdružení D.R.A.K.; D.R.A.K.; §65 - Sociálně aktivizační služby pro rodiny s dětmi</t>
  </si>
  <si>
    <t>Diakonie ČCE - středisko Světlo ve Vrchlabí; Diakonie ČCE-středisko Světlo ve Vrchlabí; §65 - Sociálně aktivizační služby pro rodiny s dětmi</t>
  </si>
  <si>
    <t>Sdružení TULIPAN, z.s.; Chráněné bydlení TULIPAN; §51 - Chráněné bydlení</t>
  </si>
  <si>
    <t>FOKUS Semily, z.s.; Sociální rehabilitace; §70 - Sociální rehabilitace</t>
  </si>
  <si>
    <t>Mateřská a Základní škola Sluníčko Turnov, příspěvková organizace; Denní stacionář; §46 - Denní stacionáře</t>
  </si>
  <si>
    <t>Dětské centrum Jilemnice, příspěvková organizace; Odlehčovací služba; §44 - Odlehčovací služby</t>
  </si>
  <si>
    <t>Romodrom, o.p.s.; Odborné sociální poradenství; §37 - Odborné sociální poradenství</t>
  </si>
  <si>
    <t>Buona Strada s.r.o.; Denní stacionář Villa Toscana; §46 - Denní stacionáře</t>
  </si>
  <si>
    <t>Domov důchodců Velké Hamry, příspěvková organizace; Domov důchodců Velké Hamry, příspěvková organizace; §50 - Domovy se zvláštním režimem</t>
  </si>
  <si>
    <t>Národní ústav pro autismus, z.ú.; Chráněné bydlení pro lidi s autismem; §51 - Chráněné bydlení</t>
  </si>
  <si>
    <t>Jedličkův ústav, příspěvková organizace; Odlehčovací služby; §44 - Odlehčovací služby</t>
  </si>
  <si>
    <t>Pečovatelská služba Lomnice nad Popelkou; Pečovatelská služba; §40 - Pečovatelská služba</t>
  </si>
  <si>
    <t>Návrat, o.p.s.; Návrat, o.p.s.; §57 - Azylové domy</t>
  </si>
  <si>
    <t>SeneCura SeniorCentrum Liberec s.r.o.; Domov pro seniory; §49 - Domovy pro seniory</t>
  </si>
  <si>
    <t>Alzheimercentrum Česká Lípa z.ú.; Domovy se zvláštním režimem; §50 - Domovy se zvláštním režimem</t>
  </si>
  <si>
    <t>Domovy seniorů BeneVita s.r.o; Domovy pro seniory; §49 - Domovy pro seniory</t>
  </si>
  <si>
    <t>Domovy seniorů BeneVita s.r.o; Domov se zvláštním režimem; §50 - Domovy se zvláštním režimem</t>
  </si>
  <si>
    <t>Maják NMPS, z.ú.; NZDM KINO; §62 - Nízkoprahová zařízení pro děti a mládež</t>
  </si>
  <si>
    <t>Maják Hrádek z.ú.; NZDM Depo; §62 - Nízkoprahová zařízení pro děti a mládež</t>
  </si>
  <si>
    <t>Maják Plus, z.ú.; NZDM Zapes; §62 - Nízkoprahová zařízení pro děti a mládež</t>
  </si>
  <si>
    <t>Maják NMPS, z.ú.; SAS Kompas; §65 - Sociálně aktivizační služby pro rodiny s dětmi</t>
  </si>
  <si>
    <t>FOKUS Liberec o.p.s.; Domov Krásná Studánka; §50 - Domovy se zvláštním režimem</t>
  </si>
  <si>
    <t>Rodina v centru, z.ú.; SAS pro rodiny s dětmi Štafeta; §65 - Sociálně aktivizační služby pro rodiny s dětmi</t>
  </si>
  <si>
    <t>Přístav 3V, z. ú.; Sociálně aktivizační služby pro seniory a osoby se zdravotním postižením; §66 - Sociálně aktivizační služby pro seniory a osoby se zdravotním postižením</t>
  </si>
  <si>
    <t>Zlatý věk s.r.o.; Domov U Nás; §50 - Domovy se zvláštním režimem</t>
  </si>
  <si>
    <t>Zdroje krytí celkem na §
veřejné i neveřejné zdroje</t>
  </si>
  <si>
    <t>počet lůžek na §</t>
  </si>
  <si>
    <t>počet úvazků na §</t>
  </si>
  <si>
    <t>zdroje krytí na lůžko</t>
  </si>
  <si>
    <t>zdroje krytí na úvazek</t>
  </si>
  <si>
    <t>zdroje krytí na lůžko na měsíc</t>
  </si>
  <si>
    <t>zdroje krytí na úvazek na měsíc</t>
  </si>
  <si>
    <t>Dotace MPSV</t>
  </si>
  <si>
    <t>Dotace z rozpočtu Libereckého kraje</t>
  </si>
  <si>
    <t>Dotace z rozpočtu ostatních krajů</t>
  </si>
  <si>
    <t xml:space="preserve">Příspěvek zřizovatele - obce </t>
  </si>
  <si>
    <t>Strukturální fondy</t>
  </si>
  <si>
    <t>Příspěvky od ÚP</t>
  </si>
  <si>
    <t>Jiné zdroje
(veřejné)</t>
  </si>
  <si>
    <t>Úhrady od uživatelů služby</t>
  </si>
  <si>
    <t>Fondy zdravotních pojišťoven</t>
  </si>
  <si>
    <t>Obec - příspěvek vlastní obce</t>
  </si>
  <si>
    <t>Jiné zdroje 
(neveřejné)</t>
  </si>
  <si>
    <t>PO kraj</t>
  </si>
  <si>
    <t>PO obec</t>
  </si>
  <si>
    <t>Ostatní</t>
  </si>
  <si>
    <t>celkem za Síť</t>
  </si>
  <si>
    <t>Podíl zdrojů krytí</t>
  </si>
  <si>
    <t>Liberecký kraj</t>
  </si>
  <si>
    <t>Obce</t>
  </si>
  <si>
    <t>Úhrady od uživatelů</t>
  </si>
  <si>
    <t>1/2 2021</t>
  </si>
  <si>
    <t>1/2 2021 z průběžných zpráv 2021</t>
  </si>
  <si>
    <t>Vratka po 31. 12. 2023</t>
  </si>
  <si>
    <t>RK 15.08.2023</t>
  </si>
  <si>
    <t>Položka</t>
  </si>
  <si>
    <t>ORG/č.a.</t>
  </si>
  <si>
    <t>Číslo smlouvy</t>
  </si>
  <si>
    <t>1. kolo MPSV
ZR-RO 53/23</t>
  </si>
  <si>
    <t>Vratka 1. kolo
skutečně vráceno 60 %</t>
  </si>
  <si>
    <t>Vratka 1. kolo
nevyplacených 
40 %</t>
  </si>
  <si>
    <t>Vratka 1. kolo
celkem</t>
  </si>
  <si>
    <t>2. kolo MPSV
ZR-RO 275/23</t>
  </si>
  <si>
    <t>datum</t>
  </si>
  <si>
    <t>částka</t>
  </si>
  <si>
    <t>Skutečně využito k 31.12.2023</t>
  </si>
  <si>
    <t>0570016/0000</t>
  </si>
  <si>
    <t>OLP/506/2023</t>
  </si>
  <si>
    <t>odborné sociální poradenství</t>
  </si>
  <si>
    <t>0</t>
  </si>
  <si>
    <t>0570098/0000</t>
  </si>
  <si>
    <t>OLP/507/2023</t>
  </si>
  <si>
    <t>domovy pro seniory</t>
  </si>
  <si>
    <t>odlehčovací služby</t>
  </si>
  <si>
    <t>0570059/0000</t>
  </si>
  <si>
    <t>OLP/508/2023</t>
  </si>
  <si>
    <t>ALVALÍDA, z.s.</t>
  </si>
  <si>
    <t>denní stacionáře</t>
  </si>
  <si>
    <t>0570119/0000</t>
  </si>
  <si>
    <t>OLP/509/2023</t>
  </si>
  <si>
    <t>domovy se zvláštním režimem</t>
  </si>
  <si>
    <t>0570090/1520</t>
  </si>
  <si>
    <t>OLP /446/2023</t>
  </si>
  <si>
    <t>centra denních služeb</t>
  </si>
  <si>
    <t>domovy pro osoby se zdravotním postižením</t>
  </si>
  <si>
    <t>0570078/0000</t>
  </si>
  <si>
    <t>OLP/510/2023</t>
  </si>
  <si>
    <t>Buona Strada s.r.o.</t>
  </si>
  <si>
    <t>0570090/1502</t>
  </si>
  <si>
    <t>OLP/448/2023</t>
  </si>
  <si>
    <t>intervenční centra</t>
  </si>
  <si>
    <t>telefonická krizová pomoc</t>
  </si>
  <si>
    <t>0570064/0000</t>
  </si>
  <si>
    <t>OLP/511/2023</t>
  </si>
  <si>
    <t>raná péče</t>
  </si>
  <si>
    <t>sociálně aktivizační služby pro rodiny s dětmi</t>
  </si>
  <si>
    <t>0570020/0000</t>
  </si>
  <si>
    <t>OLP/512/2023</t>
  </si>
  <si>
    <t>tlumočnické služby</t>
  </si>
  <si>
    <t>osobní asistence</t>
  </si>
  <si>
    <t>0570090/3502</t>
  </si>
  <si>
    <t>OLP/513/2023</t>
  </si>
  <si>
    <t>pečovatelská služba</t>
  </si>
  <si>
    <t>0570090/2502</t>
  </si>
  <si>
    <t>OLP/521/2023</t>
  </si>
  <si>
    <t>0570045/0000</t>
  </si>
  <si>
    <t>OLP/552/2023</t>
  </si>
  <si>
    <t>0570021/0000</t>
  </si>
  <si>
    <t>OLP/523/2023</t>
  </si>
  <si>
    <t>sociálně aktivizační služby pro seniory a osoby se zdravotním postižením</t>
  </si>
  <si>
    <t>0570022/0000</t>
  </si>
  <si>
    <t>OLP/524/2023</t>
  </si>
  <si>
    <t>nízkoprahová zařízení pro děti a mládež</t>
  </si>
  <si>
    <t>terénní programy</t>
  </si>
  <si>
    <t>0570015/0000</t>
  </si>
  <si>
    <t>OLP/525/2023</t>
  </si>
  <si>
    <t>0570090/1507</t>
  </si>
  <si>
    <t>OLP/449/2023</t>
  </si>
  <si>
    <t>0570090/5504</t>
  </si>
  <si>
    <t>OLP/526/2023</t>
  </si>
  <si>
    <t>týdenní stacionáře</t>
  </si>
  <si>
    <t>0570090/1523</t>
  </si>
  <si>
    <t>OLP/450/2023</t>
  </si>
  <si>
    <t>Dětské centrum Liberec, příspěvková organizace</t>
  </si>
  <si>
    <t>sociální rehabilitace</t>
  </si>
  <si>
    <t>0570090/5501</t>
  </si>
  <si>
    <t>OLP/527/2023</t>
  </si>
  <si>
    <t>0570023/0000</t>
  </si>
  <si>
    <t>OLP/528/2023</t>
  </si>
  <si>
    <t>sociálně terapeutické dílny</t>
  </si>
  <si>
    <t>chráněné bydlení</t>
  </si>
  <si>
    <t>0570024/0000</t>
  </si>
  <si>
    <t>OLP/529/2023</t>
  </si>
  <si>
    <t>0570095/0000</t>
  </si>
  <si>
    <t>OLP/530/2023</t>
  </si>
  <si>
    <t>0570025/0000</t>
  </si>
  <si>
    <t>OLP/531/2023</t>
  </si>
  <si>
    <t>0570027/0000</t>
  </si>
  <si>
    <t>OLP/532/2023</t>
  </si>
  <si>
    <t>0570120/0000</t>
  </si>
  <si>
    <t>OLP/533/2023</t>
  </si>
  <si>
    <t>Domácí hospic 14 pomocníků, z. ú.</t>
  </si>
  <si>
    <t>0570090/1521</t>
  </si>
  <si>
    <t>OLP/452/2023</t>
  </si>
  <si>
    <t>0570090/1522</t>
  </si>
  <si>
    <t>OLP/453/2023</t>
  </si>
  <si>
    <t>0570090/4506</t>
  </si>
  <si>
    <t>OLP/534/2023</t>
  </si>
  <si>
    <t>0570090/1515</t>
  </si>
  <si>
    <t>OLP/455/2023</t>
  </si>
  <si>
    <t>0570090/1512</t>
  </si>
  <si>
    <t>OLP/457/2023</t>
  </si>
  <si>
    <t>0570090/1516</t>
  </si>
  <si>
    <t>OLP/459/2023</t>
  </si>
  <si>
    <t>0570090/1510</t>
  </si>
  <si>
    <t>OLP/460/2023</t>
  </si>
  <si>
    <t>0570090/1509</t>
  </si>
  <si>
    <t>OLP/462/2023</t>
  </si>
  <si>
    <t>0570090/1513</t>
  </si>
  <si>
    <t>OLP/464/2023</t>
  </si>
  <si>
    <t>0570090/1519</t>
  </si>
  <si>
    <t>OLP/465/2023</t>
  </si>
  <si>
    <t>0570090/2507</t>
  </si>
  <si>
    <t>OLP/535/2023</t>
  </si>
  <si>
    <t>0570090/1505</t>
  </si>
  <si>
    <t>OLP/466/2023</t>
  </si>
  <si>
    <t>0570029/0000</t>
  </si>
  <si>
    <t>OLP/567/2023</t>
  </si>
  <si>
    <t>DOMOV U SPASITELE středisko Husitské diakonie</t>
  </si>
  <si>
    <t>0570090/3501</t>
  </si>
  <si>
    <t>OLP/568/2023</t>
  </si>
  <si>
    <t>0570090/2506</t>
  </si>
  <si>
    <t>OLP/569/2023</t>
  </si>
  <si>
    <t>0570030/0000</t>
  </si>
  <si>
    <t>OLP/570/2023</t>
  </si>
  <si>
    <t>0570032/0000</t>
  </si>
  <si>
    <t>OLP/571/2023</t>
  </si>
  <si>
    <t>podpora samostatného bydlení</t>
  </si>
  <si>
    <t>0570033/0000</t>
  </si>
  <si>
    <t>OLP/572/2023</t>
  </si>
  <si>
    <t>0570034/0000</t>
  </si>
  <si>
    <t>OLP/573/2023</t>
  </si>
  <si>
    <t>0570123/0000</t>
  </si>
  <si>
    <t>OLP/574/2023</t>
  </si>
  <si>
    <t>Global Partner Péče, z.ú.</t>
  </si>
  <si>
    <t>0570035/0000</t>
  </si>
  <si>
    <t>OLP/575/2023</t>
  </si>
  <si>
    <t>0570031/0000</t>
  </si>
  <si>
    <t>OLP/576/2023</t>
  </si>
  <si>
    <t>azylové domy</t>
  </si>
  <si>
    <t>0570049/0000</t>
  </si>
  <si>
    <t>OLP/577/2023</t>
  </si>
  <si>
    <t>0570050/0000</t>
  </si>
  <si>
    <t>OLP/578/2023</t>
  </si>
  <si>
    <t>0570124/0000</t>
  </si>
  <si>
    <t>Charita Semily</t>
  </si>
  <si>
    <t>0570090/1501</t>
  </si>
  <si>
    <t>OLP/467/2023</t>
  </si>
  <si>
    <t>0570048/0000</t>
  </si>
  <si>
    <t>OLP/579/2023</t>
  </si>
  <si>
    <t>0570037/0000</t>
  </si>
  <si>
    <t>OLP/581/2023</t>
  </si>
  <si>
    <t>0570114/0000</t>
  </si>
  <si>
    <t>OLP/583/2023</t>
  </si>
  <si>
    <t>Maják Hrádek z. ú.</t>
  </si>
  <si>
    <t>0570115/0000</t>
  </si>
  <si>
    <t>OLP/584/2023</t>
  </si>
  <si>
    <t>0570116/0000</t>
  </si>
  <si>
    <t>OLP/586/2023</t>
  </si>
  <si>
    <t>Maják Plus, z. ú.</t>
  </si>
  <si>
    <t>0570070/0000</t>
  </si>
  <si>
    <t>OLP/588/2023</t>
  </si>
  <si>
    <t>0570090/5490</t>
  </si>
  <si>
    <t>OLP/589/2023</t>
  </si>
  <si>
    <t>0570039/0000</t>
  </si>
  <si>
    <t>OLP/590/2023</t>
  </si>
  <si>
    <t>0570090/4002</t>
  </si>
  <si>
    <t>OLP/591/2023</t>
  </si>
  <si>
    <t>MĚSTO CVIKOV</t>
  </si>
  <si>
    <t>0570090/3002</t>
  </si>
  <si>
    <t>OLP/592/2023</t>
  </si>
  <si>
    <t>0570090/2003</t>
  </si>
  <si>
    <t>OLP/593/2023</t>
  </si>
  <si>
    <t>0570090/2005</t>
  </si>
  <si>
    <t>OLP/594/2023</t>
  </si>
  <si>
    <t>0570090/2007</t>
  </si>
  <si>
    <t>OLP/595/2023</t>
  </si>
  <si>
    <t>0570090/2058</t>
  </si>
  <si>
    <t>OLP/596/2023</t>
  </si>
  <si>
    <t>0570090/5004</t>
  </si>
  <si>
    <t>OLP/597/2023</t>
  </si>
  <si>
    <t>0570090/4006</t>
  </si>
  <si>
    <t>OLP/598/2023</t>
  </si>
  <si>
    <t>0570090/2008</t>
  </si>
  <si>
    <t>OLP/599/2023</t>
  </si>
  <si>
    <t>0570090/2009</t>
  </si>
  <si>
    <t>OLP/600/2023</t>
  </si>
  <si>
    <t>MĚSTO RASPENAVA</t>
  </si>
  <si>
    <t>0570090/3003</t>
  </si>
  <si>
    <t>OLP/601/2023</t>
  </si>
  <si>
    <t>0570090/4009</t>
  </si>
  <si>
    <t>OLP/602/2023</t>
  </si>
  <si>
    <t>0570090/3006</t>
  </si>
  <si>
    <t>OLP/603/2023</t>
  </si>
  <si>
    <t>0570090/3007</t>
  </si>
  <si>
    <t>OLP/604/2023</t>
  </si>
  <si>
    <t>0570072/0000</t>
  </si>
  <si>
    <t>OLP/605/2023</t>
  </si>
  <si>
    <t>Mgr. Lucie Jursíková Brožková</t>
  </si>
  <si>
    <t>0570040/0000</t>
  </si>
  <si>
    <t>OLP/606/2023</t>
  </si>
  <si>
    <t>Most k naději, z. s.</t>
  </si>
  <si>
    <t>domy na půl cesty</t>
  </si>
  <si>
    <t>kontaktní centra</t>
  </si>
  <si>
    <t>0570042/0000</t>
  </si>
  <si>
    <t>OLP/607/2023</t>
  </si>
  <si>
    <t>nízkoprahová denní centra</t>
  </si>
  <si>
    <t>noclehárny</t>
  </si>
  <si>
    <t>0570071/0000</t>
  </si>
  <si>
    <t>OLP/608/2023</t>
  </si>
  <si>
    <t>0570043/0000</t>
  </si>
  <si>
    <t>OLP/609/2023</t>
  </si>
  <si>
    <t>0570090/3901</t>
  </si>
  <si>
    <t>OLP/610/2023</t>
  </si>
  <si>
    <t>sociální služby poskytované ve zdravotnických zařízeních lůžkové péče</t>
  </si>
  <si>
    <t>0570090/5902</t>
  </si>
  <si>
    <t>OLP/611/2023</t>
  </si>
  <si>
    <t>0570044/0000</t>
  </si>
  <si>
    <t>OLP/612/2023</t>
  </si>
  <si>
    <t>0570046/0000</t>
  </si>
  <si>
    <t>OLP/613/2023</t>
  </si>
  <si>
    <t>Občanské sdružení D.R.A.K. z. s.</t>
  </si>
  <si>
    <t>0570090/5021</t>
  </si>
  <si>
    <t>OLP/614/2023</t>
  </si>
  <si>
    <t>0570090/5027</t>
  </si>
  <si>
    <t>OLP/615/2023</t>
  </si>
  <si>
    <t>0570090/5036</t>
  </si>
  <si>
    <t>OLP/616/2023</t>
  </si>
  <si>
    <t>0570090/5044</t>
  </si>
  <si>
    <t>OLP/617/2023</t>
  </si>
  <si>
    <t>0570097/0000</t>
  </si>
  <si>
    <t>OLP/618/2023</t>
  </si>
  <si>
    <t>0570090/1504</t>
  </si>
  <si>
    <t>OLP/468/2023</t>
  </si>
  <si>
    <t>0570073/0000</t>
  </si>
  <si>
    <t>OLP/619/2023</t>
  </si>
  <si>
    <t>0570090/2501</t>
  </si>
  <si>
    <t>OLP/620/2023</t>
  </si>
  <si>
    <t>Pečovatelská služba Český Dub, příspěvková organizace</t>
  </si>
  <si>
    <t>0570090/2504</t>
  </si>
  <si>
    <t>OLP/621/2023</t>
  </si>
  <si>
    <t>Pečovatelská služba Hrádek nad Nisou, příspěvková organizace</t>
  </si>
  <si>
    <t>0570090/5508</t>
  </si>
  <si>
    <t>OLP/622/2023</t>
  </si>
  <si>
    <t>0570150/0000</t>
  </si>
  <si>
    <t>OLP/623/2023</t>
  </si>
  <si>
    <t>0570052/0000</t>
  </si>
  <si>
    <t>OLP/624/2023</t>
  </si>
  <si>
    <t>Reva o. p. s.</t>
  </si>
  <si>
    <t>0570074/0000</t>
  </si>
  <si>
    <t>OLP/625/2023</t>
  </si>
  <si>
    <t>0570053/0000</t>
  </si>
  <si>
    <t>OLP/626/2023</t>
  </si>
  <si>
    <t>0570054/0000</t>
  </si>
  <si>
    <t>OLP/627/2023</t>
  </si>
  <si>
    <t>0570056/0000</t>
  </si>
  <si>
    <t>OLP/628/2023</t>
  </si>
  <si>
    <t>0570057/0000</t>
  </si>
  <si>
    <t>OLP/629/2023</t>
  </si>
  <si>
    <t>0570076/0000</t>
  </si>
  <si>
    <t>OLP/630/2023</t>
  </si>
  <si>
    <t>0570060/0000</t>
  </si>
  <si>
    <t>OLP/631/2023</t>
  </si>
  <si>
    <t>0570112/0000</t>
  </si>
  <si>
    <t>OLP/632/2023</t>
  </si>
  <si>
    <t>0570061/0000</t>
  </si>
  <si>
    <t>OLP/633/2023</t>
  </si>
  <si>
    <t>0570062/0000</t>
  </si>
  <si>
    <t>OLP/634/2023</t>
  </si>
  <si>
    <t>0570090/1508</t>
  </si>
  <si>
    <t>OLP/469/2023</t>
  </si>
  <si>
    <t>0570090/4502</t>
  </si>
  <si>
    <t>OLP/635/2023</t>
  </si>
  <si>
    <t>0570090/4503</t>
  </si>
  <si>
    <t>OLP/636/2023</t>
  </si>
  <si>
    <t>0570090/4501</t>
  </si>
  <si>
    <t>OLP/637/2023</t>
  </si>
  <si>
    <t>0570090/4507</t>
  </si>
  <si>
    <t>OLP/638/2023</t>
  </si>
  <si>
    <t>0570090/5503</t>
  </si>
  <si>
    <t>OLP/639/2023</t>
  </si>
  <si>
    <t>0570063/0000</t>
  </si>
  <si>
    <t>OLP/640/2023</t>
  </si>
  <si>
    <t>0570028/0000</t>
  </si>
  <si>
    <t>OLP/641/2023</t>
  </si>
  <si>
    <t>0570065/0000</t>
  </si>
  <si>
    <t>OLP/642/2023</t>
  </si>
  <si>
    <t>TyfloCentrum Liberec o. p. s.</t>
  </si>
  <si>
    <t>průvodcovské a předčitatelské služby</t>
  </si>
  <si>
    <t>0570075/0000</t>
  </si>
  <si>
    <t>OLP/643/2023</t>
  </si>
  <si>
    <t>0570090/5505</t>
  </si>
  <si>
    <t>OLP/644/2023</t>
  </si>
  <si>
    <t>Zdravotně sociální služby Turnov, příspěvková organizace</t>
  </si>
  <si>
    <t>POLK / B</t>
  </si>
  <si>
    <t>Služba - název</t>
  </si>
  <si>
    <t>Dům Naděje Jablonec nad Nisou</t>
  </si>
  <si>
    <t>Pečovatelská služba</t>
  </si>
  <si>
    <t>Romodrom pro regiony - Liberecký kraj</t>
  </si>
  <si>
    <t>Dům na půl cesty</t>
  </si>
  <si>
    <t>DZR</t>
  </si>
  <si>
    <t>Kontaktní centrum pro lidi ohrožené drogou - kontaktní centrum</t>
  </si>
  <si>
    <t>Sociálně aktivizační služby pro seniory a osoby se zdravotním postižením</t>
  </si>
  <si>
    <t>Denní stacionáře</t>
  </si>
  <si>
    <t>Azylový dům Jonáš</t>
  </si>
  <si>
    <t>Dům Naděje Jablonec nad Nisou - noclehárna</t>
  </si>
  <si>
    <t>POLK</t>
  </si>
  <si>
    <t>Domov a Centrum denních služeb Jablonec nad Nisou, p.o</t>
  </si>
  <si>
    <t>Středisko Naděje Jablonec nad Nisou</t>
  </si>
  <si>
    <t>Centrum LAMPA</t>
  </si>
  <si>
    <t>Odborné sociální poradenství - Liberecký kraj</t>
  </si>
  <si>
    <t>Domov Raspenava</t>
  </si>
  <si>
    <t>Dům penzion pro důchodce</t>
  </si>
  <si>
    <t>Odlehčovací služby Česká Lípa</t>
  </si>
  <si>
    <t>Odlehčovací služby</t>
  </si>
  <si>
    <t>Intervenční centrum</t>
  </si>
  <si>
    <t>Středisko Naděje Liberec - terénní program</t>
  </si>
  <si>
    <t>Nízkoprahové zařízení pro děti a mládež Drak</t>
  </si>
  <si>
    <t>Odborné sociální poradenství Česká Lípa</t>
  </si>
  <si>
    <t>Domov pro osoby se zdravotním postižením</t>
  </si>
  <si>
    <t>Centrum poradenských služeb pro obviněné a odsouzené</t>
  </si>
  <si>
    <t>Středisko sociální péče Frýdlant</t>
  </si>
  <si>
    <t>Odlehčovací služby Liberec</t>
  </si>
  <si>
    <t>B</t>
  </si>
  <si>
    <t>Odborné sociální poradenství (ambulantní)</t>
  </si>
  <si>
    <t>Denní stacionář</t>
  </si>
  <si>
    <t>Sociální služby Semily</t>
  </si>
  <si>
    <t>Tlumočnické služby Liberecký kraj</t>
  </si>
  <si>
    <t>Domov KOPRETINA</t>
  </si>
  <si>
    <t>Středisko Naděje Liberec - Valdštejnská</t>
  </si>
  <si>
    <t>Sociálně aktivizační služby pro rodiny s dětmi</t>
  </si>
  <si>
    <t>Pampeliška-domov pro seniory se zvláštním režimem</t>
  </si>
  <si>
    <t>Pečovatelská služba města Stráž pod Ralskem</t>
  </si>
  <si>
    <t>Sociální služby</t>
  </si>
  <si>
    <t>Poradna pro rodinu, manželství a mezilidské vztahy Liberec</t>
  </si>
  <si>
    <t>Tísňová péče Areíon pro seniory a zdravotně postižené</t>
  </si>
  <si>
    <t>Pečovatelská služba Cvikov</t>
  </si>
  <si>
    <t>Domov pro mentálně postižené v Liberci - Harcově, o.p.s.</t>
  </si>
  <si>
    <t>Domov pro seniory Doksy - Denní stacionář</t>
  </si>
  <si>
    <t>Startér</t>
  </si>
  <si>
    <t>NZDM Vafle</t>
  </si>
  <si>
    <t>Domovy pro seniory</t>
  </si>
  <si>
    <t>Pečovatelská služba Mírová pod Kozákovem</t>
  </si>
  <si>
    <t>Odlehčovací služba</t>
  </si>
  <si>
    <t>Domov se zvláštním režimem</t>
  </si>
  <si>
    <t>Domov pro matky s dětmi v tísni - Domov sv. Moniky</t>
  </si>
  <si>
    <t>Domov Harcov</t>
  </si>
  <si>
    <t>Centrum denních služeb</t>
  </si>
  <si>
    <t>Sociální poradenství pro migranty</t>
  </si>
  <si>
    <t>Domov důchodců Pohoda</t>
  </si>
  <si>
    <t>Pečovatelská služba Radvánovice</t>
  </si>
  <si>
    <t>Nízkoprahové zařízení pro děti a mládež Kruháč</t>
  </si>
  <si>
    <t>Pečovatelská služba - terénní</t>
  </si>
  <si>
    <t>FOKUS Liberec občanské sdružení</t>
  </si>
  <si>
    <t>Domov důchodců Mimoň</t>
  </si>
  <si>
    <t>Charitní pečovatelská služba</t>
  </si>
  <si>
    <t>Sociální služby poskytované ve zdravotnických zařízeních ústavní péče</t>
  </si>
  <si>
    <t>Most k naději – Terénní program sociální prevence</t>
  </si>
  <si>
    <t>K-centrum - Centrum pro drogové závislosti - kontaktní centrum</t>
  </si>
  <si>
    <t>Středisko Naděje Liberec - noclehárna</t>
  </si>
  <si>
    <t>Krajské ambulantní středisko Liberec</t>
  </si>
  <si>
    <t>Osobní asistence Semily</t>
  </si>
  <si>
    <t>Chráněné bydlení pro duševně nemocné</t>
  </si>
  <si>
    <t>Pečovatelská služba Hodkovice nad Mohelkou</t>
  </si>
  <si>
    <t>Dům s pečovatelskou službou Poniklá</t>
  </si>
  <si>
    <t>Domov pro seniory</t>
  </si>
  <si>
    <t>Centrum ambulantních služeb - doléčovací program</t>
  </si>
  <si>
    <t>Odborné sociální poradenství Semily</t>
  </si>
  <si>
    <t>Dětské centrum Semily - denní stacionáře</t>
  </si>
  <si>
    <t>Osobní asistence</t>
  </si>
  <si>
    <t>Dolmen, o.p.s. Agentura pro chráněné bydlení</t>
  </si>
  <si>
    <t>Česká unie neslyšících</t>
  </si>
  <si>
    <t>CZSP ČUN</t>
  </si>
  <si>
    <t>Sociální rehabilitace</t>
  </si>
  <si>
    <t>Domov a Centrum aktivity,p.o. Domov pro osoby se zdrav. postižením</t>
  </si>
  <si>
    <t>Rozkoš bez rizika</t>
  </si>
  <si>
    <t>Domov pro seniory Doksy - Pečovatelská služba</t>
  </si>
  <si>
    <t>Nemocnice s poliklinikou Česká Lípa</t>
  </si>
  <si>
    <t>Senior centrum Nový Bor</t>
  </si>
  <si>
    <t>Domov  důchodců Jablonecké Paseky, příspěvková organizace</t>
  </si>
  <si>
    <t>FOKUS Turnov</t>
  </si>
  <si>
    <t>CSS ČUN Liberec SAS</t>
  </si>
  <si>
    <t>Terapeutická komunita ADVAITA</t>
  </si>
  <si>
    <t>Domov a Centrum aktivity, p.o. chráněné byty</t>
  </si>
  <si>
    <t>Nepřetržitá telefonická krizová pomoc pro seniory a jejich blízké - senior telefon - 800 157 157</t>
  </si>
  <si>
    <t>Raná péče Čechy</t>
  </si>
  <si>
    <t>Terénní programy</t>
  </si>
  <si>
    <t>Sociální poradna Tanvald</t>
  </si>
  <si>
    <t>CENTRUM DENNÍCH SLUŽEB - SLUNCE VŠEM</t>
  </si>
  <si>
    <t>Diakonie Beránek o.s.</t>
  </si>
  <si>
    <t>Člověk v tísni, o.p.s., Programy sociální integrace</t>
  </si>
  <si>
    <t>Denní stacionář ALVALÍDA</t>
  </si>
  <si>
    <t>Týdenní stacionáře</t>
  </si>
  <si>
    <t>Odlehčovací služby Jablonec nad Nisou</t>
  </si>
  <si>
    <t>Vila Vitae</t>
  </si>
  <si>
    <t>Linka důvěry</t>
  </si>
  <si>
    <t>Odborné sociální poradenství Liberec</t>
  </si>
  <si>
    <t>Pečovatelská služba Hrádek nad Nisou</t>
  </si>
  <si>
    <t>Sociálně terapeutické dílny</t>
  </si>
  <si>
    <t>Člověk v tísni, o.p.s. Programy sociální integrace - pobočka Liberec</t>
  </si>
  <si>
    <t>Terénní pečovatelská služba</t>
  </si>
  <si>
    <t>ZDRAVOŠ PÉČE</t>
  </si>
  <si>
    <t>SeniA</t>
  </si>
  <si>
    <t>KDP Sluníčko</t>
  </si>
  <si>
    <t>FOKUS Semily</t>
  </si>
  <si>
    <t>Sociálně aktivizační služby pro rodiny s dětmi D.R.A.K.</t>
  </si>
  <si>
    <t xml:space="preserve"> </t>
  </si>
  <si>
    <t>Centrum ambulantních služeb - program ambulantního poradenství</t>
  </si>
  <si>
    <t>Odborné sociální poradenství</t>
  </si>
  <si>
    <t>Dům humanity</t>
  </si>
  <si>
    <t>Klub KOULE Nízkoprahové zařízení pro děti a mládež</t>
  </si>
  <si>
    <t>Odlehčovací služby Semily</t>
  </si>
  <si>
    <t>Domov sv. Vavřince</t>
  </si>
  <si>
    <t>Pampeliška - Domov pro seniory</t>
  </si>
  <si>
    <t>Chráněné bydlení</t>
  </si>
  <si>
    <t>Osobní asistence Jablonec nad Nisou</t>
  </si>
  <si>
    <t>DPS Horní Branná</t>
  </si>
  <si>
    <t>Sociálně aktivizační služby pro rodiny s dětmi (terénní)</t>
  </si>
  <si>
    <t>Osobní asistence Česká Lípa</t>
  </si>
  <si>
    <t>Dům rychlé pomoci</t>
  </si>
  <si>
    <t>Most k naději – Terénní programy pro uživatele drog</t>
  </si>
  <si>
    <t>Tísňová péče</t>
  </si>
  <si>
    <t>Rodina24</t>
  </si>
  <si>
    <t>Nízkoprahová zařízení pro děti a mládež Zákupák</t>
  </si>
  <si>
    <t>Chráněné bydlení TULIPAN</t>
  </si>
  <si>
    <t>Domov pro seniory Doksy - Domov pro seniory</t>
  </si>
  <si>
    <t>Nízkoprahové zařízení pro děti a mládež Kotva</t>
  </si>
  <si>
    <t>NZDM Depo</t>
  </si>
  <si>
    <t xml:space="preserve">Domov pro seniory </t>
  </si>
  <si>
    <t>Sociální poradenství</t>
  </si>
  <si>
    <t>Jedličkův ústav, p.o., Domov pro osoby se zdravotním postižením - Dům E</t>
  </si>
  <si>
    <t>Poradna Bílého kruhu bezpečí, z.s., Liberec</t>
  </si>
  <si>
    <t>Jedličkův ústav, p.o., Centrum denních služeb</t>
  </si>
  <si>
    <t>Domovy se zvláštním režimem</t>
  </si>
  <si>
    <t>Domov důchodců Jindřichovice pod Smrkem, p.o.</t>
  </si>
  <si>
    <t>Centrum denních služeb - domovinka</t>
  </si>
  <si>
    <t>SLUNCE VŠEM</t>
  </si>
  <si>
    <t>Osobní asistence Liberec</t>
  </si>
  <si>
    <t>ELVA HELP o.s.</t>
  </si>
  <si>
    <t>Hospicové poradenství v nemoci, umírání. zármutku</t>
  </si>
  <si>
    <t>Denní stacionář pro seniory U Antonína, Liberec-Ruprechtice</t>
  </si>
  <si>
    <t>Odborné sociální poradenství Jablonec nad Nisou</t>
  </si>
  <si>
    <t>Občanská poradna Liberec</t>
  </si>
  <si>
    <t>Domov pro matky s dětmi v tísni - Domov sv. Anny</t>
  </si>
  <si>
    <t>průvodcovské a předčitatelské služby -Liberec a ČL</t>
  </si>
  <si>
    <t>sociálně aktivizační služby pro zrakově postižené občany - Semily, Turnov, Liberec</t>
  </si>
  <si>
    <t>NZDM</t>
  </si>
  <si>
    <t>Vratky</t>
  </si>
  <si>
    <t>Dotace MPSV skutečnost</t>
  </si>
  <si>
    <t>Dotace Kraj</t>
  </si>
  <si>
    <t>§50 - Domovy se zvláštním režimem - osoby s PAS, osoby s problematickým chováním - poruchy chování, psychiatrické diagnózy</t>
  </si>
  <si>
    <t>Domov se zvláštním režimem RváčOff</t>
  </si>
  <si>
    <t>Kapacita - úvazky PPP - celkem 2024</t>
  </si>
  <si>
    <t>Kapacita - lůžka - celkem 2024</t>
  </si>
  <si>
    <t>Centrum na podporu integrace cizinců pro Liberecký kraj</t>
  </si>
  <si>
    <t>Dům seniorů Františkov, Liberec</t>
  </si>
  <si>
    <t>Občanská poradna</t>
  </si>
  <si>
    <t>Amina - služby pro rodinu, o. p. s.</t>
  </si>
  <si>
    <t>Společnost pro podporu náhradní rodinné péče - Amina o.p.s.</t>
  </si>
  <si>
    <t>ambulantní, terénní</t>
  </si>
  <si>
    <t>HERMIONA - Sociálně aktivizační služby pro rodiny s dětmi s migrační minulostí</t>
  </si>
  <si>
    <t>Dětské centrum Liberec</t>
  </si>
  <si>
    <t xml:space="preserve">ambulantní terénní </t>
  </si>
  <si>
    <t>Podpora a rozvoj sociálních služeb pro rodiny a děti v Libereckém kraji</t>
  </si>
  <si>
    <t>09903046</t>
  </si>
  <si>
    <t>Sdružení TULIPAN</t>
  </si>
  <si>
    <t>26672473</t>
  </si>
  <si>
    <t>Sociálně aktivizační služby TULIPAN pro rodiny s dětmi</t>
  </si>
  <si>
    <t>Služba pro rodiny s dětmi Lucie</t>
  </si>
  <si>
    <t>ALCH Lomnice SE</t>
  </si>
  <si>
    <t>24676977</t>
  </si>
  <si>
    <t>DOMOV DOMA</t>
  </si>
  <si>
    <t xml:space="preserve">ambulantní </t>
  </si>
  <si>
    <t>Diakonie ČCE - středisko Světlo ve Vrchlabí
(Zařazení do ZSLK od 1. 7. 2024)</t>
  </si>
  <si>
    <t>Osobní asistence a aktivizační služby VČELKA s.r.o.</t>
  </si>
  <si>
    <t>Včelka sociální služby s.r.o.</t>
  </si>
  <si>
    <t>Evropská společnost / evropská akciová společnost</t>
  </si>
  <si>
    <t xml:space="preserve">Rumunská 14/6
Liberec IV-Perštýn
460 01 Liberec 1
</t>
  </si>
  <si>
    <t xml:space="preserve">Budějovická 778/3
Praha 4 - Michle
140 00 Praha 4
</t>
  </si>
  <si>
    <t>Husova 4, 
513 01  Semily</t>
  </si>
  <si>
    <t xml:space="preserve">Hanychovská 743/3
Liberec III-Jeřáb
460 07 Liberec 7
</t>
  </si>
  <si>
    <t xml:space="preserve">Urešova 1757
Kunratice
148 00 Praha 414
</t>
  </si>
  <si>
    <t>Dolní Řasnice 44
464 01 Dolní Řasnice</t>
  </si>
  <si>
    <t xml:space="preserve">Zeyerova 832/24
Liberec I-Staré Město
460 01 Liberec 1
</t>
  </si>
  <si>
    <t xml:space="preserve">Venušina 544/6
Liberec I-Staré Město
460 01 Liberec 1
</t>
  </si>
  <si>
    <t xml:space="preserve">Tanvaldská 269
Liberec XXX-Vratislavice nad Nisou
463 11 Liberec 30
</t>
  </si>
  <si>
    <t xml:space="preserve">Matoušova 406/20
Liberec III-Jeřáb
460 07 Liberec 7
</t>
  </si>
  <si>
    <t xml:space="preserve">Zahradní 415/10
Liberec XI-Růžodol I
460 01 Liberec 1
</t>
  </si>
  <si>
    <t xml:space="preserve">Emilie Floriánové 1736/8
Jablonec nad Nisou
466 01 Jablonec nad Nisou 1
</t>
  </si>
  <si>
    <t xml:space="preserve">Krejčího 1172/3
Liberec VI-Rochlice
460 06 Liberec 6
</t>
  </si>
  <si>
    <t xml:space="preserve">Dlouhá 729/37
Praha 1 - Staré Město
110 00 Praha 1
</t>
  </si>
  <si>
    <t xml:space="preserve">Šafaříkova 635/24
Praha 2 - Vinohrady
120 00 Praha 2
</t>
  </si>
  <si>
    <t xml:space="preserve">Švermova 32/35
Liberec X-Františkov
460 10 Liberec 10
</t>
  </si>
  <si>
    <t xml:space="preserve">Hradecká 2905
Česká Lípa
470 06 Česká Lípa 6
</t>
  </si>
  <si>
    <t xml:space="preserve">Roztocká 994
514 01 Jilemnice
</t>
  </si>
  <si>
    <t xml:space="preserve">Pekárkova 572/5
Liberec XV-Starý Harcov
460 15 Liberec 15
</t>
  </si>
  <si>
    <t xml:space="preserve">Na Olešce 433
Podmoklice
513 01 Semily
</t>
  </si>
  <si>
    <t xml:space="preserve">Vlčí vrch 323
Liberec XV-Starý Harcov
460 15 Liberec 15
</t>
  </si>
  <si>
    <t xml:space="preserve">1. máje 868/11
Liberec III-Jeřáb
460 07 Liberec 7
</t>
  </si>
  <si>
    <t xml:space="preserve">Komenského 616
Vrchlabí
543 01 Vrchlabí 1
</t>
  </si>
  <si>
    <t xml:space="preserve">5. května 193/2
Jablonec nad Nisou
466 01 Jablonec nad Nisou 1
</t>
  </si>
  <si>
    <t xml:space="preserve">Kosmonautů 2022
Předměstí
412 01 Litoměřice 1
</t>
  </si>
  <si>
    <t xml:space="preserve">Ivana Olbrachta 663
513 01 Semily
</t>
  </si>
  <si>
    <t xml:space="preserve">Liberecká 451
463 42 Hodkovice nad Mohelkou
</t>
  </si>
  <si>
    <t xml:space="preserve">U Balvanu 4117/2
Jablonec nad Nisou
466 01 Jablonec nad Nisou 1
</t>
  </si>
  <si>
    <t xml:space="preserve">Nové Zákupy 500
471 23 Zákupy
</t>
  </si>
  <si>
    <t xml:space="preserve">Zámecká 39
Český Dub IV
463 43 Český Dub
</t>
  </si>
  <si>
    <t xml:space="preserve">Vítězslava Nezvala 87/14
Jablonecké Paseky
466 02 Jablonec nad Nisou 2
</t>
  </si>
  <si>
    <t xml:space="preserve">Jindřichovice pod Smrkem 238
463 65 Nové Město pod Smrkem
</t>
  </si>
  <si>
    <t xml:space="preserve">Dolní Rokytnice 291
512 44 Rokytnice nad Jizerou 1
</t>
  </si>
  <si>
    <t xml:space="preserve">Benešova 1
471 52 Sloup v Čechách
</t>
  </si>
  <si>
    <t xml:space="preserve">Velké Hamry 600
468 45 Velké Hamry
</t>
  </si>
  <si>
    <t xml:space="preserve">Fučíkova 432
Raspenava
464 01 Frýdlant v Čechách
</t>
  </si>
  <si>
    <t xml:space="preserve">U Sila 321
Liberec XXX-Vratislavice nad Nisou
463 11 Liberec 30
</t>
  </si>
  <si>
    <t xml:space="preserve">Jestřebí 126
471 61 Jestřebí
</t>
  </si>
  <si>
    <t xml:space="preserve">Máchova 650
Frýdlant
464 01 Frýdlant v Čechách
</t>
  </si>
  <si>
    <t xml:space="preserve">Tyršova 1340
468 51 Smržovka
</t>
  </si>
  <si>
    <t xml:space="preserve">Domažlická 880/8
Liberec III-Jeřáb
460 07 Liberec 7
</t>
  </si>
  <si>
    <t xml:space="preserve">Palachova 504/7
Liberec I-Staré Město
460 01 Liberec 1
</t>
  </si>
  <si>
    <t xml:space="preserve">Nezvalova 662/18
Liberec XV-Starý Harcov
460 15 Liberec 15
</t>
  </si>
  <si>
    <t xml:space="preserve">Nad Školami 480
513 01 Semily
</t>
  </si>
  <si>
    <t xml:space="preserve">Skálova 2336
Turnov
511 01 Turnov 1
</t>
  </si>
  <si>
    <t xml:space="preserve">Pobřežní 665/21
Praha 8 - Karlín
186 00 Praha 86
</t>
  </si>
  <si>
    <t xml:space="preserve">Pod Perštýnem 321/1
Liberec IV-Perštýn
460 01 Liberec 1
</t>
  </si>
  <si>
    <t xml:space="preserve">Dubická 992/14
Česká Lípa
470 01 Česká Lípa 1
</t>
  </si>
  <si>
    <t xml:space="preserve">Uhlířská 424/7
Liberec XI-Růžodol I
460 01 Liberec 1
</t>
  </si>
  <si>
    <t xml:space="preserve">Františka Malíka 956/16a
Most
434 01 Most 1
</t>
  </si>
  <si>
    <t xml:space="preserve">Komenského náměstí 125
513 01 Semily
</t>
  </si>
  <si>
    <t xml:space="preserve">Lužická 920/7
Liberec I-Staré Město
460 01 Liberec 1
</t>
  </si>
  <si>
    <t xml:space="preserve">Husova 89
Mimoň I
471 24 Mimoň
</t>
  </si>
  <si>
    <t xml:space="preserve">Sadová 2107
Nymburk
288 02 Nymburk 2
</t>
  </si>
  <si>
    <t xml:space="preserve">Moskevská 438
463 34 Hrádek nad Nisou
</t>
  </si>
  <si>
    <t xml:space="preserve">Švermova 853
463 65 Nové Město pod Smrkem
</t>
  </si>
  <si>
    <t xml:space="preserve">Konopná 776/8
Liberec XIV-Ruprechtice
460 14 Liberec 14
</t>
  </si>
  <si>
    <t xml:space="preserve">Na Pískovně 657/24
Liberec XIV-Ruprechtice
460 14 Liberec 14
</t>
  </si>
  <si>
    <t xml:space="preserve">Kosmonautů 1641
Turnov
511 01 Turnov 1
</t>
  </si>
  <si>
    <t xml:space="preserve">Generála Svobody 83/47
Liberec XIII-Nové Pavlovice
460 01 Liberec 1
</t>
  </si>
  <si>
    <t xml:space="preserve">Náměstí Osvobození 63
Cvikov I
471 54 Cvikov
</t>
  </si>
  <si>
    <t xml:space="preserve">Krkonošská 318
Desná II
468 61 Desná v Jizer. horách
</t>
  </si>
  <si>
    <t xml:space="preserve">nám. T. G. Masaryka 37
Frýdlant
464 01 Frýdlant v Čechách
</t>
  </si>
  <si>
    <t xml:space="preserve">nám. T. G. Masaryka 1
463 42 Hodkovice nad Mohelkou
</t>
  </si>
  <si>
    <t xml:space="preserve">náměstí 1. máje 1
463 31 Chrastava
</t>
  </si>
  <si>
    <t xml:space="preserve">náměstí Míru 22
471 25 Jablonné v Podještědí
</t>
  </si>
  <si>
    <t xml:space="preserve">Masarykovo náměstí 82
514 01 Jilemnice
</t>
  </si>
  <si>
    <t xml:space="preserve">Osvobození 470
471 14 Kamenický Šenov
</t>
  </si>
  <si>
    <t xml:space="preserve">Palackého 280
463 65 Nové Město pod Smrkem
</t>
  </si>
  <si>
    <t xml:space="preserve">Fučíkova 421
Raspenava
464 01 Frýdlant v Čechách
</t>
  </si>
  <si>
    <t xml:space="preserve">Husova 490
Rychnov u Jablonce nad Nisou
468 02 Rychnov u Jablonce n.Nis.
</t>
  </si>
  <si>
    <t xml:space="preserve">Revoluční 164
471 27 Stráž pod Ralskem
</t>
  </si>
  <si>
    <t xml:space="preserve">Velké Hamry 362
468 45 Velké Hamry
</t>
  </si>
  <si>
    <t xml:space="preserve">náměstí 3. května 1
468 22 Železný Brod
</t>
  </si>
  <si>
    <t xml:space="preserve">Dlouhá 1058/19
Lovosice
410 02 Lovosice 2
</t>
  </si>
  <si>
    <t xml:space="preserve">Petra Jilemnického 1929/9
Most
434 01 Most 1
</t>
  </si>
  <si>
    <t xml:space="preserve">K Brance 11/19e
Praha 13 - Stodůlky
155 00 Praha 515
</t>
  </si>
  <si>
    <t xml:space="preserve">V Holešovičkách 593/1a
Praha 8 - Libeň
182 00 Praha 82
</t>
  </si>
  <si>
    <t xml:space="preserve">Široká 304/68
Liberec III-Jeřáb
460 07 Liberec 7
</t>
  </si>
  <si>
    <t xml:space="preserve">Nemocniční 4446/15
Jablonec nad Nisou
466 01 Jablonec nad Nisou 1
</t>
  </si>
  <si>
    <t xml:space="preserve">Komenského 440
512 51 Lomnice nad Popelkou
</t>
  </si>
  <si>
    <t xml:space="preserve">Purkyňova 1849
Česká Lípa
470 01 Česká Lípa 1
</t>
  </si>
  <si>
    <t xml:space="preserve">Oblačná 450/1
Liberec V-Kristiánov
460 05 Liberec 5
</t>
  </si>
  <si>
    <t xml:space="preserve">Horní Branná 262
512 36 Horní Branná
</t>
  </si>
  <si>
    <t xml:space="preserve">Karlovice 12
511 01 Turnov 1
</t>
  </si>
  <si>
    <t xml:space="preserve">Chutnovka 36
Mírová pod Kozákovem
511 01 Turnov 1
</t>
  </si>
  <si>
    <t xml:space="preserve">Poniklá 65
512 42 Poniklá
</t>
  </si>
  <si>
    <t xml:space="preserve">Na jihu 553
Nové Město
506 01 Jičín 1
</t>
  </si>
  <si>
    <t xml:space="preserve">Pivovarská 693
Cvikov II
471 54 Cvikov
</t>
  </si>
  <si>
    <t xml:space="preserve">Zahradní 182
403 23 Velké Březno
</t>
  </si>
  <si>
    <t xml:space="preserve">V Parku 190
Český Dub IV
463 43 Český Dub
</t>
  </si>
  <si>
    <t xml:space="preserve">Žitavská 670
463 34 Hrádek nad Nisou
</t>
  </si>
  <si>
    <t xml:space="preserve">Obránců míru 1188
512 51 Lomnice nad Popelkou
</t>
  </si>
  <si>
    <t xml:space="preserve">Horní Rokytnice 590
512 44 Rokytnice nad Jizerou 1
</t>
  </si>
  <si>
    <t xml:space="preserve">Bezručova 503
463 31 Chrastava
</t>
  </si>
  <si>
    <t xml:space="preserve">Na Perštýně 352/33
Liberec IV-Perštýn
460 01 Liberec 1
</t>
  </si>
  <si>
    <t xml:space="preserve">Křižíkova 980
473 01 Nový Bor
</t>
  </si>
  <si>
    <t xml:space="preserve">Nerudova 3113/17
Jablonec nad Nisou
466 01 Jablonec nad Nisou 1
</t>
  </si>
  <si>
    <t xml:space="preserve">Rybná 716/24
Praha 1 - Staré Město
110 00 Praha 1
</t>
  </si>
  <si>
    <t xml:space="preserve">Divoká 1186
Liberec XIV-Ruprechtice
460 14 Liberec 14
</t>
  </si>
  <si>
    <t xml:space="preserve">28. října 59/42
Liberec VII-Horní Růžodol
460 07 Liberec 7
</t>
  </si>
  <si>
    <t xml:space="preserve">Školní 2213
Česká Lípa
470 01 Česká Lípa 1
</t>
  </si>
  <si>
    <t xml:space="preserve">Ke Smíchovu 1144/144
Slivenec
154 00 Praha 514
</t>
  </si>
  <si>
    <t xml:space="preserve">Dlouhá 1376/25a
Jablonec nad Nisou
466 01 Jablonec nad Nisou 1
</t>
  </si>
  <si>
    <t xml:space="preserve">Brigádnická 2260
Turnov
511 01 Turnov 1
</t>
  </si>
  <si>
    <t xml:space="preserve">Benešov u Semil 180
512 06 Benešov u Semil
</t>
  </si>
  <si>
    <t xml:space="preserve">Ústecká 2855
Česká Lípa
470 01 Česká Lípa 1
</t>
  </si>
  <si>
    <t xml:space="preserve">Panská 199
472 01 Doksy
</t>
  </si>
  <si>
    <t xml:space="preserve">Pražská 273
Mimoň I
471 24 Mimoň
</t>
  </si>
  <si>
    <t xml:space="preserve">B. Egermanna 950
473 01 Nový Bor
</t>
  </si>
  <si>
    <t xml:space="preserve">Bavlnářská 523
Podmoklice
513 01 Semily
</t>
  </si>
  <si>
    <t xml:space="preserve">Na Návsi 44
Veselá
295 01 Mnichovo Hradiště
</t>
  </si>
  <si>
    <t xml:space="preserve">nám. Českých bratří 36/1
Liberec V-Kristiánov
460 05 Liberec 5
</t>
  </si>
  <si>
    <t xml:space="preserve">Na Výšinách 451/9
Liberec V-Kristiánov
460 05 Liberec 5
</t>
  </si>
  <si>
    <t xml:space="preserve">28. října 812
Turnov
511 01 Turnov 1
</t>
  </si>
  <si>
    <t xml:space="preserve">Fügnerovo náměstí 1808/3
Nové Město
12000 Praha 2
</t>
  </si>
  <si>
    <t xml:space="preserve">U Trojice 1042/2
Smíchov
15000 Praha 5
</t>
  </si>
  <si>
    <t xml:space="preserve">Habálkova 1571/22
Stodůlky
15500 Praha 5
</t>
  </si>
  <si>
    <t xml:space="preserve">Pernerova 10/32
Karlín
18600 Praha 8
</t>
  </si>
  <si>
    <r>
      <t xml:space="preserve">Sídlo poskytovatele
</t>
    </r>
    <r>
      <rPr>
        <sz val="8"/>
        <rFont val="Calibri"/>
        <family val="2"/>
        <charset val="238"/>
      </rPr>
      <t>k roku 2024</t>
    </r>
  </si>
  <si>
    <t xml:space="preserve">Vlhká 166/10
Zábrdovice
60200 Brno
</t>
  </si>
  <si>
    <t>Voroněžská 1329/13
Liberec I - Staré Město
46001 Liberec</t>
  </si>
  <si>
    <t>Na strži 1683/40
Krč
14000 Praha 4</t>
  </si>
  <si>
    <t>Krakovská 1695/21
Nové Město
11000 Praha 1</t>
  </si>
  <si>
    <t xml:space="preserve">Karoliny Světlé 286/18
Staré Město
11000 Praha 1
</t>
  </si>
  <si>
    <t xml:space="preserve">Lhotecká 559/7
Kamýk
14300 Praha 4
</t>
  </si>
  <si>
    <t>čp. 51
28163 Prusice
okr. Praha - východ</t>
  </si>
  <si>
    <t>Dotace Kraj
skutečnost</t>
  </si>
  <si>
    <t>Kapacita - lůžka - celkem 2025</t>
  </si>
  <si>
    <r>
      <t xml:space="preserve">Vratky
</t>
    </r>
    <r>
      <rPr>
        <b/>
        <sz val="8"/>
        <color rgb="FFFF0000"/>
        <rFont val="Calibri"/>
        <family val="2"/>
        <charset val="238"/>
      </rPr>
      <t>vratky budou známy až po 5. 2. 2026</t>
    </r>
  </si>
  <si>
    <t>ALCH Lomnice, SE</t>
  </si>
  <si>
    <t>Denní a pobytové sociální služby Česká Lípa, příspěvková organizace</t>
  </si>
  <si>
    <t>08751641</t>
  </si>
  <si>
    <t>08848254</t>
  </si>
  <si>
    <t>07934335</t>
  </si>
  <si>
    <t>08163936</t>
  </si>
  <si>
    <t>PROMEDICUS Semily s.r.o.</t>
  </si>
  <si>
    <t>06627421</t>
  </si>
  <si>
    <t>07333919</t>
  </si>
  <si>
    <t>VOJTELLA, o.p.s.</t>
  </si>
  <si>
    <r>
      <t xml:space="preserve">Sídlo poskytovatele
</t>
    </r>
    <r>
      <rPr>
        <sz val="8"/>
        <rFont val="Calibri"/>
        <family val="2"/>
        <charset val="238"/>
      </rPr>
      <t>k roku 2025</t>
    </r>
  </si>
  <si>
    <t>IP LK</t>
  </si>
  <si>
    <t>§44 - odlehčovací služba_P</t>
  </si>
  <si>
    <t>§67 - sociálně terapeutické dílny</t>
  </si>
  <si>
    <t xml:space="preserve">§50 - Domovy se zvláštním režimem </t>
  </si>
  <si>
    <t xml:space="preserve">pobytová, terénní </t>
  </si>
  <si>
    <t>§70a - Centrum duševního zdraví</t>
  </si>
  <si>
    <t>Sestřička SOS, z.ú.</t>
  </si>
  <si>
    <t>11836270</t>
  </si>
  <si>
    <t>Kapacita - úvazky PPP - IP 2025</t>
  </si>
  <si>
    <t>2
aktualizace ZSLK k 1.1.26</t>
  </si>
  <si>
    <t>Kapacita - úvazky PPP - (MPSV 2025)</t>
  </si>
  <si>
    <t>2,5
aktualizace ZSLK k 1.1.26</t>
  </si>
  <si>
    <t>pozn: Od 1.1.26 přešlo 23 úvazků do §70a - Centrum duševního zdraví. V rámci financování jsou CDZ brány jako nástupniceké služby služeb, ze kterých vznikly</t>
  </si>
  <si>
    <t>pozn: Od 1.1.26 přešlo 23 úvazků z §70 - Sociální rehabilitace. V rámci financování jsou CDZ brány jako nástupniceké služby služeb, ze kterých vznikly.</t>
  </si>
  <si>
    <t>Kapacita - úvazky PPP - celkem 2025 (dotace kraj)</t>
  </si>
  <si>
    <t>09088091</t>
  </si>
  <si>
    <t xml:space="preserve">Husova 4
513 01 Semily
</t>
  </si>
  <si>
    <t xml:space="preserve">nám. Míru 720
Rychnov u Jablonce nad Nisou
468 02 Rychnov u Jablonce n.Nis.
</t>
  </si>
  <si>
    <t xml:space="preserve">Na dračkách 476/46
Praha 6 - Veleslavín
162 00 Praha 616
</t>
  </si>
  <si>
    <t xml:space="preserve">Máchova 265
471 27 Stráž pod Ralskem
</t>
  </si>
  <si>
    <t>AHC Senior centrum Nový Bor a.s.</t>
  </si>
  <si>
    <t>Fügnerovo náměstí 1808/3, 120 00 Praha 2</t>
  </si>
  <si>
    <t>Hábova 1571/22, 155 00 Praha 5 – Stodůlky</t>
  </si>
  <si>
    <t>Pernerova 10/32, 186 00 Praha 8</t>
  </si>
  <si>
    <t>Palachova 504/7, 460 01 Liberec I</t>
  </si>
  <si>
    <t>Voroněžská 1329/13, 460 01 liberec I - Staré Město</t>
  </si>
  <si>
    <t>Na strži 1683/40, 140 00 Praha Krč</t>
  </si>
  <si>
    <t>Krakovská 1685/21, 110 00 Praha, Nové Město</t>
  </si>
  <si>
    <t>Na Škrobech 246, 252 25 Jinočany</t>
  </si>
  <si>
    <t>Jablonecká 8/31
Liberec V-Kristiánov
46005 Liberec</t>
  </si>
  <si>
    <t>U Trojice 1042/2
Smíchov
15000 Praha 5</t>
  </si>
  <si>
    <t>Purkyňova 1849
470 01 Česká Lípa</t>
  </si>
  <si>
    <t>Vlhká 166/10
Zábrdovice
60200 Brno</t>
  </si>
  <si>
    <t>Global Partner sociální služb s.r.o.</t>
  </si>
  <si>
    <t>Karoliny Světlé 286/18
Staré Město
11000 Praha 1</t>
  </si>
  <si>
    <t>Budějovická 778/3
Michle
14000 Praha 4</t>
  </si>
  <si>
    <t>Ambulantní poradenství Advaita</t>
  </si>
  <si>
    <t>DOMOV DOMA Lomnice nad Popelkou</t>
  </si>
  <si>
    <t>ALZHEIMER HOME Sychrov DZR</t>
  </si>
  <si>
    <t>ALZHEIMER HOME Sychrov DS</t>
  </si>
  <si>
    <t>ALZHEIMER HOME Česká Lípa</t>
  </si>
  <si>
    <t>Intervenční služba</t>
  </si>
  <si>
    <t>Poradna pro rodinu, manželství a mezilidské vztahy</t>
  </si>
  <si>
    <t>Domov Kopretina</t>
  </si>
  <si>
    <t>Odlehčovací služba Fialka, Pomněnka, Růžovka</t>
  </si>
  <si>
    <t>klub V kleci</t>
  </si>
  <si>
    <t>programy sociální integrace - pobočka Liberec</t>
  </si>
  <si>
    <t>Dluhová poradna</t>
  </si>
  <si>
    <t>Domov Sluneční dvůr</t>
  </si>
  <si>
    <t>Dětské centrum Jilemnice</t>
  </si>
  <si>
    <t>Dětské centrum Semily</t>
  </si>
  <si>
    <t>DH Liberec, o.p.s. - DoZP</t>
  </si>
  <si>
    <t>DH Liberec, o.p.s. - OA</t>
  </si>
  <si>
    <t>DH Liberec, o.p.s. - ChB</t>
  </si>
  <si>
    <t>Sociálně aktivizační služby poro rodiny s dětmi Frýdlant</t>
  </si>
  <si>
    <t>Nízkoprahové zařízení pro děti a mládež Cajk</t>
  </si>
  <si>
    <t>Domácí hospic 14 pomocníků, z.ú.</t>
  </si>
  <si>
    <t>Domov a Centrum denních služeb Jablonec nad Nisou, p.o.</t>
  </si>
  <si>
    <t>Centra denních služeb</t>
  </si>
  <si>
    <t>Dům s pečovatelskou službou</t>
  </si>
  <si>
    <t>Domov pro seniory Hrádek nad Nisou</t>
  </si>
  <si>
    <t>Domov důchodců jablonecké Paseky, příspěvková organizace</t>
  </si>
  <si>
    <t>Domov důchodců Jindřichovice pod Smrkem</t>
  </si>
  <si>
    <t>Domov důchodců Sloup v Čechách</t>
  </si>
  <si>
    <t>Domov Raspenava, p.o.</t>
  </si>
  <si>
    <t>Dům penzion pro důchodce, Tyršova 1340, 468 51 Smržovka</t>
  </si>
  <si>
    <t>Sociální rehabilitace prostřednictvím canisasistence, metod canisterapie.</t>
  </si>
  <si>
    <t>Domov Krásná Studánka</t>
  </si>
  <si>
    <t>Global Partner</t>
  </si>
  <si>
    <t>Hospicová péče sv.Zdislavy, o.p.s.</t>
  </si>
  <si>
    <t>Klub Koule Nízkoprahové zařízení pro děti a mládež</t>
  </si>
  <si>
    <t>Domov sv. Moniky</t>
  </si>
  <si>
    <t>Domov sv. Anny</t>
  </si>
  <si>
    <t>Nízkoprahové zařízení pro děti a mládež Zákupák</t>
  </si>
  <si>
    <t>Tanvalská Kotva, Kotva Brod</t>
  </si>
  <si>
    <t>Adiktologické služby ve vězení Laxus</t>
  </si>
  <si>
    <t>NZDM KINO</t>
  </si>
  <si>
    <t>NZDM Zapes</t>
  </si>
  <si>
    <t>Mareva z.s</t>
  </si>
  <si>
    <t>Osobní asistence v MŠ a ZŠ Sluníčko Turnov</t>
  </si>
  <si>
    <t>Denní stacionář Sluníčko Turnov</t>
  </si>
  <si>
    <t>Středisko sociální péče</t>
  </si>
  <si>
    <t>Pečovatelská služba města Jablonné v Podještědí</t>
  </si>
  <si>
    <t>Pečovatelská služba Železný Brod</t>
  </si>
  <si>
    <t>K-centrum Liberec a Jablonec nad Nisou</t>
  </si>
  <si>
    <t>Služby sociální prevence v Libereckém kraji</t>
  </si>
  <si>
    <t>K-centrum Česká Lípa</t>
  </si>
  <si>
    <t>Terénní programy pro lidi ohrožené drogou</t>
  </si>
  <si>
    <t>Dům Naděje Jablonec nad Nisou - nízkoprahové denní centrum</t>
  </si>
  <si>
    <t>Středisko Naděje Jablonec nad Nisou - terénní program</t>
  </si>
  <si>
    <t>Dům Naděje Jablonec nad Nisou - azylový dům</t>
  </si>
  <si>
    <t>Dům Naděje Jablonec nad Nisou - terénní program</t>
  </si>
  <si>
    <t>Chráněné bydlení pro lidi s autismem</t>
  </si>
  <si>
    <t>Azylový dům Speramus</t>
  </si>
  <si>
    <t>Azylový dům pro ženy a rodiny s dětmi</t>
  </si>
  <si>
    <t>sociální služby poskytované ve zdravotnických zařízeních ústavní péče</t>
  </si>
  <si>
    <t>Nemocnice následné péče</t>
  </si>
  <si>
    <t>SAS pro rodiny s dětmi Tanvald</t>
  </si>
  <si>
    <t>Pečovatelská služba Poniklá</t>
  </si>
  <si>
    <t>RváčOff</t>
  </si>
  <si>
    <t>Přístav 3V,z.ú.</t>
  </si>
  <si>
    <t>Reva o.p.s.</t>
  </si>
  <si>
    <t>Štafeta</t>
  </si>
  <si>
    <t>Terénní programy - Liberecký kraj</t>
  </si>
  <si>
    <t>Denní stacionář pro seniory U Antonína Liberec-Ruprechtice</t>
  </si>
  <si>
    <t>Sociálně aktivizační služba pro rodiny s dětmi TULIPAN</t>
  </si>
  <si>
    <t>SeneCura SeniorCentrum Liberec</t>
  </si>
  <si>
    <t>Denní centrum pro seniory s demencemi v Jablonci nad Nisou</t>
  </si>
  <si>
    <t>Služby sociální péče Tereza</t>
  </si>
  <si>
    <t>Českolipský azyl</t>
  </si>
  <si>
    <t>Centrum pro pečující</t>
  </si>
  <si>
    <t>SAS SM</t>
  </si>
  <si>
    <t>PPS LBC</t>
  </si>
  <si>
    <t>SRH LB</t>
  </si>
  <si>
    <t>Vojtella - domov se zvláštním režimem</t>
  </si>
  <si>
    <t>Vojtella - domov pro seniory</t>
  </si>
  <si>
    <t>Centrum péče o seniory - Domovina</t>
  </si>
  <si>
    <t>Tlumočnická služba ČUN</t>
  </si>
  <si>
    <t>Středisko terapeutických služeb NAUTIS Liberecký kraj</t>
  </si>
  <si>
    <t>Terénní programy R-R</t>
  </si>
  <si>
    <t>Centrum sociální rehabilitace</t>
  </si>
  <si>
    <t>Společnost Dolmen, z. ú.</t>
  </si>
  <si>
    <t>Tyfloservis, o.p.s. - Krajské ambulantní středisko Liberec</t>
  </si>
  <si>
    <t>Doléčovací program Advaita</t>
  </si>
  <si>
    <t>SAS Amina</t>
  </si>
  <si>
    <t>Poradna Bílého kruhu bezpečí, z.s.</t>
  </si>
  <si>
    <t>Člověk v tísni o. p. s.</t>
  </si>
  <si>
    <t>Domv Raspenava, příspěvková organizace</t>
  </si>
  <si>
    <t>Centrum duševního zdraví Fokus Liberec</t>
  </si>
  <si>
    <t>Fokus Semily</t>
  </si>
  <si>
    <t>Fokus Turnov</t>
  </si>
  <si>
    <t>Odborné sociální poradenství NAUTIS </t>
  </si>
  <si>
    <t>Centrum odlehčovacích služeb Smržovka</t>
  </si>
  <si>
    <t>Tichá podpora</t>
  </si>
  <si>
    <t>Global Partner sociální služby s.r.o.</t>
  </si>
  <si>
    <t>Linka důvěry Senior telefon</t>
  </si>
  <si>
    <t>První tísňová - Tísňová péče Života 90</t>
  </si>
  <si>
    <t>Poradna 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</si>
</sst>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0" x14ac:knownFonts="1">
    <font>
      <sz val="11"/>
      <color theme="1"/>
      <name val="Calibri"/>
      <family val="2"/>
      <charset val="238"/>
      <scheme val="minor"/>
    </font>
    <font>
      <sz val="7"/>
      <color theme="1"/>
      <name val="Tahoma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7"/>
      <color theme="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7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11"/>
      <color theme="8" tint="0.39997558519241921"/>
      <name val="Calibri"/>
      <family val="2"/>
      <charset val="238"/>
      <scheme val="minor"/>
    </font>
    <font>
      <sz val="8"/>
      <color theme="8" tint="0.3999755851924192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0"/>
      <name val="Tahoma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8" tint="0.79998168889431442"/>
        <bgColor rgb="FF00000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5">
    <xf numFmtId="0" fontId="0" fillId="0" borderId="0" xfId="0"/>
    <xf numFmtId="0" fontId="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0" fillId="6" borderId="0" xfId="0" applyFill="1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5" fillId="0" borderId="7" xfId="1" applyFont="1" applyBorder="1" applyAlignment="1" applyProtection="1">
      <alignment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49" fontId="5" fillId="0" borderId="3" xfId="1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7" xfId="1" applyFont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wrapText="1"/>
      <protection hidden="1"/>
    </xf>
    <xf numFmtId="0" fontId="4" fillId="11" borderId="0" xfId="0" applyFont="1" applyFill="1" applyAlignment="1" applyProtection="1">
      <alignment wrapText="1"/>
      <protection hidden="1"/>
    </xf>
    <xf numFmtId="0" fontId="4" fillId="10" borderId="0" xfId="0" applyFont="1" applyFill="1" applyAlignment="1" applyProtection="1">
      <alignment wrapText="1"/>
      <protection hidden="1"/>
    </xf>
    <xf numFmtId="0" fontId="7" fillId="0" borderId="0" xfId="0" applyFont="1" applyAlignment="1" applyProtection="1">
      <alignment wrapText="1"/>
      <protection hidden="1"/>
    </xf>
    <xf numFmtId="0" fontId="7" fillId="12" borderId="0" xfId="0" applyFont="1" applyFill="1" applyAlignment="1" applyProtection="1">
      <alignment wrapText="1"/>
      <protection hidden="1"/>
    </xf>
    <xf numFmtId="0" fontId="4" fillId="8" borderId="0" xfId="0" applyFont="1" applyFill="1" applyAlignment="1" applyProtection="1">
      <alignment wrapText="1"/>
      <protection hidden="1"/>
    </xf>
    <xf numFmtId="0" fontId="4" fillId="3" borderId="0" xfId="0" applyFont="1" applyFill="1" applyAlignment="1" applyProtection="1">
      <alignment wrapText="1"/>
      <protection hidden="1"/>
    </xf>
    <xf numFmtId="0" fontId="4" fillId="12" borderId="0" xfId="0" applyFont="1" applyFill="1" applyAlignment="1" applyProtection="1">
      <alignment wrapText="1"/>
      <protection hidden="1"/>
    </xf>
    <xf numFmtId="0" fontId="4" fillId="14" borderId="0" xfId="0" applyFont="1" applyFill="1" applyAlignment="1" applyProtection="1">
      <alignment wrapText="1"/>
      <protection hidden="1"/>
    </xf>
    <xf numFmtId="0" fontId="4" fillId="13" borderId="0" xfId="0" applyFont="1" applyFill="1" applyAlignment="1" applyProtection="1">
      <alignment wrapText="1"/>
      <protection hidden="1"/>
    </xf>
    <xf numFmtId="0" fontId="4" fillId="14" borderId="0" xfId="0" applyFont="1" applyFill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12" borderId="0" xfId="0" applyFont="1" applyFill="1" applyAlignment="1" applyProtection="1">
      <alignment vertical="center" wrapText="1"/>
      <protection hidden="1"/>
    </xf>
    <xf numFmtId="0" fontId="4" fillId="3" borderId="0" xfId="0" applyFont="1" applyFill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4" fillId="5" borderId="0" xfId="0" applyFont="1" applyFill="1" applyAlignment="1" applyProtection="1">
      <alignment vertical="center" wrapText="1"/>
      <protection hidden="1"/>
    </xf>
    <xf numFmtId="0" fontId="4" fillId="10" borderId="0" xfId="0" applyFont="1" applyFill="1" applyAlignment="1" applyProtection="1">
      <alignment vertical="center" wrapText="1"/>
      <protection hidden="1"/>
    </xf>
    <xf numFmtId="0" fontId="5" fillId="0" borderId="8" xfId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" fontId="4" fillId="0" borderId="3" xfId="0" applyNumberFormat="1" applyFont="1" applyBorder="1" applyAlignment="1" applyProtection="1">
      <alignment wrapText="1"/>
      <protection hidden="1"/>
    </xf>
    <xf numFmtId="4" fontId="4" fillId="0" borderId="3" xfId="0" applyNumberFormat="1" applyFont="1" applyBorder="1" applyAlignment="1" applyProtection="1">
      <alignment horizontal="right" wrapText="1"/>
      <protection hidden="1"/>
    </xf>
    <xf numFmtId="4" fontId="1" fillId="0" borderId="3" xfId="0" applyNumberFormat="1" applyFont="1" applyBorder="1" applyAlignment="1">
      <alignment vertical="center" wrapText="1"/>
    </xf>
    <xf numFmtId="4" fontId="8" fillId="0" borderId="3" xfId="0" applyNumberFormat="1" applyFont="1" applyBorder="1" applyAlignment="1" applyProtection="1">
      <alignment wrapText="1"/>
      <protection hidden="1"/>
    </xf>
    <xf numFmtId="4" fontId="8" fillId="0" borderId="3" xfId="0" applyNumberFormat="1" applyFont="1" applyBorder="1" applyAlignment="1" applyProtection="1">
      <alignment vertical="center" wrapText="1"/>
      <protection hidden="1"/>
    </xf>
    <xf numFmtId="4" fontId="9" fillId="0" borderId="3" xfId="0" applyNumberFormat="1" applyFont="1" applyBorder="1" applyAlignment="1" applyProtection="1">
      <alignment horizontal="right" wrapText="1"/>
      <protection hidden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3" fontId="11" fillId="16" borderId="15" xfId="0" applyNumberFormat="1" applyFont="1" applyFill="1" applyBorder="1" applyAlignment="1">
      <alignment horizontal="right" vertical="center"/>
    </xf>
    <xf numFmtId="0" fontId="11" fillId="16" borderId="0" xfId="0" applyFont="1" applyFill="1" applyAlignment="1">
      <alignment horizontal="center" vertical="center"/>
    </xf>
    <xf numFmtId="0" fontId="11" fillId="16" borderId="6" xfId="0" applyFont="1" applyFill="1" applyBorder="1" applyAlignment="1">
      <alignment vertical="center" wrapText="1"/>
    </xf>
    <xf numFmtId="0" fontId="11" fillId="16" borderId="15" xfId="0" applyFont="1" applyFill="1" applyBorder="1" applyAlignment="1">
      <alignment vertical="center" wrapText="1"/>
    </xf>
    <xf numFmtId="0" fontId="11" fillId="16" borderId="15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right"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14" xfId="0" applyFont="1" applyFill="1" applyBorder="1" applyAlignment="1">
      <alignment vertical="center" wrapText="1"/>
    </xf>
    <xf numFmtId="0" fontId="11" fillId="16" borderId="16" xfId="0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justify" vertical="center"/>
    </xf>
    <xf numFmtId="0" fontId="11" fillId="16" borderId="17" xfId="0" applyFont="1" applyFill="1" applyBorder="1" applyAlignment="1">
      <alignment vertical="center"/>
    </xf>
    <xf numFmtId="3" fontId="11" fillId="0" borderId="14" xfId="0" applyNumberFormat="1" applyFont="1" applyBorder="1" applyAlignment="1">
      <alignment horizontal="right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justify" vertical="center"/>
    </xf>
    <xf numFmtId="3" fontId="11" fillId="6" borderId="15" xfId="0" applyNumberFormat="1" applyFont="1" applyFill="1" applyBorder="1" applyAlignment="1">
      <alignment horizontal="right" vertical="center"/>
    </xf>
    <xf numFmtId="0" fontId="5" fillId="0" borderId="19" xfId="1" applyFont="1" applyBorder="1" applyAlignment="1" applyProtection="1">
      <alignment vertical="center" wrapText="1"/>
      <protection hidden="1"/>
    </xf>
    <xf numFmtId="49" fontId="5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4" fillId="0" borderId="1" xfId="0" applyNumberFormat="1" applyFont="1" applyBorder="1" applyAlignment="1" applyProtection="1">
      <alignment horizontal="right" wrapText="1"/>
      <protection hidden="1"/>
    </xf>
    <xf numFmtId="4" fontId="4" fillId="0" borderId="1" xfId="0" applyNumberFormat="1" applyFont="1" applyBorder="1" applyAlignment="1" applyProtection="1">
      <alignment wrapText="1"/>
      <protection hidden="1"/>
    </xf>
    <xf numFmtId="4" fontId="8" fillId="0" borderId="1" xfId="0" applyNumberFormat="1" applyFont="1" applyBorder="1" applyAlignment="1" applyProtection="1">
      <alignment vertical="center" wrapText="1"/>
      <protection hidden="1"/>
    </xf>
    <xf numFmtId="0" fontId="4" fillId="9" borderId="3" xfId="0" applyFont="1" applyFill="1" applyBorder="1" applyAlignment="1" applyProtection="1">
      <alignment vertical="center" wrapText="1"/>
      <protection hidden="1"/>
    </xf>
    <xf numFmtId="0" fontId="4" fillId="9" borderId="3" xfId="0" applyFont="1" applyFill="1" applyBorder="1" applyAlignment="1" applyProtection="1">
      <alignment horizontal="center" vertical="center" wrapText="1"/>
      <protection hidden="1"/>
    </xf>
    <xf numFmtId="4" fontId="4" fillId="9" borderId="3" xfId="0" applyNumberFormat="1" applyFont="1" applyFill="1" applyBorder="1" applyAlignment="1" applyProtection="1">
      <alignment vertical="center" wrapText="1"/>
      <protection hidden="1"/>
    </xf>
    <xf numFmtId="0" fontId="1" fillId="7" borderId="20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5" fillId="0" borderId="21" xfId="1" applyFont="1" applyBorder="1" applyAlignment="1" applyProtection="1">
      <alignment vertical="center" wrapText="1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vertical="center" wrapText="1"/>
      <protection hidden="1"/>
    </xf>
    <xf numFmtId="4" fontId="4" fillId="0" borderId="4" xfId="0" applyNumberFormat="1" applyFont="1" applyBorder="1" applyAlignment="1" applyProtection="1">
      <alignment horizontal="right" wrapText="1"/>
      <protection hidden="1"/>
    </xf>
    <xf numFmtId="0" fontId="6" fillId="17" borderId="20" xfId="1" applyFont="1" applyFill="1" applyBorder="1" applyAlignment="1" applyProtection="1">
      <alignment horizontal="center" vertical="center" wrapText="1"/>
      <protection hidden="1"/>
    </xf>
    <xf numFmtId="0" fontId="6" fillId="17" borderId="5" xfId="1" applyFont="1" applyFill="1" applyBorder="1" applyAlignment="1" applyProtection="1">
      <alignment horizontal="center" vertical="center" wrapText="1"/>
      <protection hidden="1"/>
    </xf>
    <xf numFmtId="0" fontId="1" fillId="17" borderId="5" xfId="0" applyFont="1" applyFill="1" applyBorder="1" applyAlignment="1">
      <alignment horizontal="center" vertical="center" wrapText="1"/>
    </xf>
    <xf numFmtId="0" fontId="0" fillId="16" borderId="0" xfId="0" applyFill="1"/>
    <xf numFmtId="0" fontId="0" fillId="6" borderId="0" xfId="0" applyFill="1"/>
    <xf numFmtId="0" fontId="5" fillId="6" borderId="3" xfId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165" fontId="1" fillId="0" borderId="3" xfId="0" applyNumberFormat="1" applyFont="1" applyBorder="1" applyAlignment="1">
      <alignment horizontal="right" wrapText="1"/>
    </xf>
    <xf numFmtId="4" fontId="1" fillId="0" borderId="0" xfId="0" applyNumberFormat="1" applyFont="1"/>
    <xf numFmtId="0" fontId="1" fillId="19" borderId="0" xfId="0" applyFont="1" applyFill="1"/>
    <xf numFmtId="4" fontId="1" fillId="19" borderId="0" xfId="0" applyNumberFormat="1" applyFont="1" applyFill="1"/>
    <xf numFmtId="0" fontId="12" fillId="20" borderId="3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10" fontId="1" fillId="0" borderId="0" xfId="0" applyNumberFormat="1" applyFont="1"/>
    <xf numFmtId="0" fontId="1" fillId="21" borderId="0" xfId="0" applyFont="1" applyFill="1"/>
    <xf numFmtId="4" fontId="1" fillId="21" borderId="0" xfId="0" applyNumberFormat="1" applyFont="1" applyFill="1"/>
    <xf numFmtId="10" fontId="1" fillId="21" borderId="0" xfId="0" applyNumberFormat="1" applyFont="1" applyFill="1"/>
    <xf numFmtId="0" fontId="1" fillId="20" borderId="0" xfId="0" applyFont="1" applyFill="1"/>
    <xf numFmtId="4" fontId="1" fillId="20" borderId="0" xfId="0" applyNumberFormat="1" applyFont="1" applyFill="1"/>
    <xf numFmtId="10" fontId="1" fillId="20" borderId="0" xfId="0" applyNumberFormat="1" applyFont="1" applyFill="1"/>
    <xf numFmtId="0" fontId="1" fillId="3" borderId="0" xfId="0" applyFont="1" applyFill="1"/>
    <xf numFmtId="4" fontId="1" fillId="3" borderId="0" xfId="0" applyNumberFormat="1" applyFont="1" applyFill="1"/>
    <xf numFmtId="10" fontId="1" fillId="3" borderId="0" xfId="0" applyNumberFormat="1" applyFont="1" applyFill="1"/>
    <xf numFmtId="4" fontId="1" fillId="0" borderId="3" xfId="0" applyNumberFormat="1" applyFont="1" applyBorder="1"/>
    <xf numFmtId="0" fontId="1" fillId="0" borderId="3" xfId="0" applyFont="1" applyBorder="1"/>
    <xf numFmtId="0" fontId="1" fillId="17" borderId="2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4" xfId="0" applyFont="1" applyBorder="1"/>
    <xf numFmtId="0" fontId="13" fillId="22" borderId="20" xfId="0" applyFont="1" applyFill="1" applyBorder="1"/>
    <xf numFmtId="0" fontId="13" fillId="22" borderId="5" xfId="0" applyFont="1" applyFill="1" applyBorder="1"/>
    <xf numFmtId="0" fontId="13" fillId="22" borderId="25" xfId="0" applyFont="1" applyFill="1" applyBorder="1"/>
    <xf numFmtId="3" fontId="13" fillId="0" borderId="10" xfId="0" applyNumberFormat="1" applyFont="1" applyBorder="1"/>
    <xf numFmtId="3" fontId="13" fillId="0" borderId="1" xfId="0" applyNumberFormat="1" applyFont="1" applyBorder="1"/>
    <xf numFmtId="3" fontId="13" fillId="0" borderId="28" xfId="0" applyNumberFormat="1" applyFont="1" applyBorder="1"/>
    <xf numFmtId="3" fontId="13" fillId="0" borderId="29" xfId="0" applyNumberFormat="1" applyFont="1" applyBorder="1"/>
    <xf numFmtId="10" fontId="13" fillId="0" borderId="30" xfId="0" applyNumberFormat="1" applyFont="1" applyBorder="1"/>
    <xf numFmtId="10" fontId="13" fillId="0" borderId="31" xfId="0" applyNumberFormat="1" applyFont="1" applyBorder="1"/>
    <xf numFmtId="10" fontId="13" fillId="0" borderId="32" xfId="0" applyNumberFormat="1" applyFont="1" applyBorder="1"/>
    <xf numFmtId="0" fontId="13" fillId="0" borderId="0" xfId="0" applyFont="1"/>
    <xf numFmtId="3" fontId="13" fillId="0" borderId="3" xfId="0" applyNumberFormat="1" applyFont="1" applyBorder="1"/>
    <xf numFmtId="3" fontId="13" fillId="0" borderId="35" xfId="0" applyNumberFormat="1" applyFont="1" applyBorder="1"/>
    <xf numFmtId="3" fontId="13" fillId="0" borderId="30" xfId="0" applyNumberFormat="1" applyFont="1" applyBorder="1"/>
    <xf numFmtId="3" fontId="13" fillId="0" borderId="31" xfId="0" applyNumberFormat="1" applyFont="1" applyBorder="1"/>
    <xf numFmtId="3" fontId="13" fillId="0" borderId="26" xfId="0" applyNumberFormat="1" applyFont="1" applyBorder="1"/>
    <xf numFmtId="10" fontId="13" fillId="0" borderId="3" xfId="0" applyNumberFormat="1" applyFont="1" applyBorder="1"/>
    <xf numFmtId="10" fontId="13" fillId="0" borderId="36" xfId="0" applyNumberFormat="1" applyFont="1" applyBorder="1"/>
    <xf numFmtId="10" fontId="0" fillId="0" borderId="8" xfId="0" applyNumberFormat="1" applyBorder="1"/>
    <xf numFmtId="10" fontId="0" fillId="0" borderId="34" xfId="0" applyNumberFormat="1" applyBorder="1"/>
    <xf numFmtId="10" fontId="13" fillId="0" borderId="35" xfId="0" applyNumberFormat="1" applyFont="1" applyBorder="1"/>
    <xf numFmtId="10" fontId="0" fillId="0" borderId="33" xfId="0" applyNumberFormat="1" applyBorder="1"/>
    <xf numFmtId="0" fontId="13" fillId="18" borderId="26" xfId="0" applyFont="1" applyFill="1" applyBorder="1" applyAlignment="1">
      <alignment horizontal="right"/>
    </xf>
    <xf numFmtId="0" fontId="13" fillId="18" borderId="23" xfId="0" applyFont="1" applyFill="1" applyBorder="1" applyAlignment="1">
      <alignment horizontal="right"/>
    </xf>
    <xf numFmtId="0" fontId="13" fillId="18" borderId="27" xfId="0" applyFont="1" applyFill="1" applyBorder="1" applyAlignment="1">
      <alignment horizontal="right"/>
    </xf>
    <xf numFmtId="0" fontId="13" fillId="23" borderId="26" xfId="0" applyFont="1" applyFill="1" applyBorder="1" applyAlignment="1">
      <alignment horizontal="right"/>
    </xf>
    <xf numFmtId="0" fontId="13" fillId="23" borderId="23" xfId="0" applyFont="1" applyFill="1" applyBorder="1" applyAlignment="1">
      <alignment horizontal="right"/>
    </xf>
    <xf numFmtId="0" fontId="13" fillId="23" borderId="29" xfId="0" applyFont="1" applyFill="1" applyBorder="1" applyAlignment="1">
      <alignment horizontal="right"/>
    </xf>
    <xf numFmtId="3" fontId="13" fillId="0" borderId="37" xfId="0" applyNumberFormat="1" applyFont="1" applyBorder="1"/>
    <xf numFmtId="3" fontId="13" fillId="0" borderId="9" xfId="0" applyNumberFormat="1" applyFont="1" applyBorder="1"/>
    <xf numFmtId="0" fontId="13" fillId="22" borderId="12" xfId="0" applyFont="1" applyFill="1" applyBorder="1"/>
    <xf numFmtId="3" fontId="13" fillId="0" borderId="23" xfId="0" applyNumberFormat="1" applyFont="1" applyBorder="1"/>
    <xf numFmtId="0" fontId="1" fillId="24" borderId="0" xfId="0" applyFont="1" applyFill="1"/>
    <xf numFmtId="4" fontId="1" fillId="24" borderId="0" xfId="0" applyNumberFormat="1" applyFont="1" applyFill="1"/>
    <xf numFmtId="10" fontId="1" fillId="24" borderId="0" xfId="0" applyNumberFormat="1" applyFont="1" applyFill="1"/>
    <xf numFmtId="0" fontId="1" fillId="25" borderId="0" xfId="0" applyFont="1" applyFill="1"/>
    <xf numFmtId="4" fontId="1" fillId="25" borderId="0" xfId="0" applyNumberFormat="1" applyFont="1" applyFill="1"/>
    <xf numFmtId="10" fontId="1" fillId="25" borderId="0" xfId="0" applyNumberFormat="1" applyFont="1" applyFill="1"/>
    <xf numFmtId="0" fontId="1" fillId="9" borderId="0" xfId="0" applyFont="1" applyFill="1"/>
    <xf numFmtId="4" fontId="1" fillId="9" borderId="0" xfId="0" applyNumberFormat="1" applyFont="1" applyFill="1"/>
    <xf numFmtId="10" fontId="1" fillId="9" borderId="0" xfId="0" applyNumberFormat="1" applyFont="1" applyFill="1"/>
    <xf numFmtId="0" fontId="10" fillId="26" borderId="14" xfId="0" applyFont="1" applyFill="1" applyBorder="1" applyAlignment="1">
      <alignment horizontal="center" vertical="center" wrapText="1"/>
    </xf>
    <xf numFmtId="0" fontId="14" fillId="26" borderId="15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/>
    </xf>
    <xf numFmtId="4" fontId="4" fillId="6" borderId="3" xfId="0" applyNumberFormat="1" applyFont="1" applyFill="1" applyBorder="1" applyAlignment="1" applyProtection="1">
      <alignment horizontal="right" wrapText="1"/>
      <protection hidden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/>
    <xf numFmtId="0" fontId="19" fillId="21" borderId="3" xfId="0" applyFont="1" applyFill="1" applyBorder="1"/>
    <xf numFmtId="0" fontId="0" fillId="21" borderId="0" xfId="0" applyFill="1"/>
    <xf numFmtId="0" fontId="14" fillId="17" borderId="15" xfId="0" applyFont="1" applyFill="1" applyBorder="1" applyAlignment="1">
      <alignment horizontal="center" vertical="center" wrapText="1"/>
    </xf>
    <xf numFmtId="0" fontId="1" fillId="17" borderId="25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4" fontId="4" fillId="9" borderId="4" xfId="0" applyNumberFormat="1" applyFont="1" applyFill="1" applyBorder="1" applyAlignment="1" applyProtection="1">
      <alignment horizontal="right" wrapText="1"/>
      <protection hidden="1"/>
    </xf>
    <xf numFmtId="4" fontId="4" fillId="9" borderId="3" xfId="0" applyNumberFormat="1" applyFont="1" applyFill="1" applyBorder="1" applyAlignment="1" applyProtection="1">
      <alignment horizontal="right" wrapText="1"/>
      <protection hidden="1"/>
    </xf>
    <xf numFmtId="4" fontId="1" fillId="0" borderId="28" xfId="0" applyNumberFormat="1" applyFont="1" applyBorder="1" applyAlignment="1">
      <alignment vertical="center" wrapText="1"/>
    </xf>
    <xf numFmtId="4" fontId="12" fillId="7" borderId="41" xfId="0" applyNumberFormat="1" applyFont="1" applyFill="1" applyBorder="1" applyAlignment="1">
      <alignment vertical="center" wrapText="1"/>
    </xf>
    <xf numFmtId="4" fontId="20" fillId="7" borderId="16" xfId="0" applyNumberFormat="1" applyFont="1" applyFill="1" applyBorder="1" applyAlignment="1" applyProtection="1">
      <alignment vertical="center" wrapText="1"/>
      <protection hidden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" fillId="0" borderId="43" xfId="0" applyFont="1" applyBorder="1" applyAlignment="1">
      <alignment vertical="center" wrapText="1"/>
    </xf>
    <xf numFmtId="0" fontId="4" fillId="0" borderId="44" xfId="0" applyFont="1" applyBorder="1" applyAlignment="1" applyProtection="1">
      <alignment vertical="center" wrapText="1"/>
      <protection hidden="1"/>
    </xf>
    <xf numFmtId="0" fontId="4" fillId="0" borderId="18" xfId="0" applyFont="1" applyBorder="1" applyAlignment="1" applyProtection="1">
      <alignment vertical="center" wrapText="1"/>
      <protection hidden="1"/>
    </xf>
    <xf numFmtId="0" fontId="4" fillId="0" borderId="43" xfId="0" applyFont="1" applyBorder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wrapText="1"/>
      <protection hidden="1"/>
    </xf>
    <xf numFmtId="3" fontId="4" fillId="0" borderId="3" xfId="0" applyNumberFormat="1" applyFont="1" applyBorder="1" applyAlignment="1" applyProtection="1">
      <alignment wrapText="1"/>
      <protection hidden="1"/>
    </xf>
    <xf numFmtId="0" fontId="4" fillId="5" borderId="3" xfId="0" applyFont="1" applyFill="1" applyBorder="1" applyAlignment="1" applyProtection="1">
      <alignment wrapText="1"/>
      <protection hidden="1"/>
    </xf>
    <xf numFmtId="0" fontId="1" fillId="5" borderId="22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4" fontId="1" fillId="0" borderId="46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vertical="center" wrapText="1"/>
      <protection hidden="1"/>
    </xf>
    <xf numFmtId="0" fontId="5" fillId="0" borderId="42" xfId="1" applyFont="1" applyBorder="1" applyAlignment="1" applyProtection="1">
      <alignment horizontal="center" vertical="center" wrapText="1"/>
      <protection hidden="1"/>
    </xf>
    <xf numFmtId="0" fontId="5" fillId="0" borderId="9" xfId="1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28" xfId="1" applyFont="1" applyBorder="1" applyAlignment="1" applyProtection="1">
      <alignment horizontal="center" vertical="center" wrapText="1"/>
      <protection hidden="1"/>
    </xf>
    <xf numFmtId="0" fontId="4" fillId="9" borderId="9" xfId="0" applyFont="1" applyFill="1" applyBorder="1" applyAlignment="1" applyProtection="1">
      <alignment horizontal="center" vertical="center" wrapText="1"/>
      <protection hidden="1"/>
    </xf>
    <xf numFmtId="4" fontId="4" fillId="0" borderId="48" xfId="0" applyNumberFormat="1" applyFont="1" applyBorder="1" applyAlignment="1" applyProtection="1">
      <alignment horizontal="right" wrapText="1"/>
      <protection hidden="1"/>
    </xf>
    <xf numFmtId="4" fontId="4" fillId="0" borderId="31" xfId="0" applyNumberFormat="1" applyFont="1" applyBorder="1" applyAlignment="1" applyProtection="1">
      <alignment horizontal="right" wrapText="1"/>
      <protection hidden="1"/>
    </xf>
    <xf numFmtId="4" fontId="4" fillId="0" borderId="31" xfId="0" applyNumberFormat="1" applyFont="1" applyBorder="1" applyAlignment="1" applyProtection="1">
      <alignment wrapText="1"/>
      <protection hidden="1"/>
    </xf>
    <xf numFmtId="4" fontId="8" fillId="0" borderId="31" xfId="0" applyNumberFormat="1" applyFont="1" applyBorder="1" applyAlignment="1" applyProtection="1">
      <alignment wrapText="1"/>
      <protection hidden="1"/>
    </xf>
    <xf numFmtId="4" fontId="4" fillId="0" borderId="32" xfId="0" applyNumberFormat="1" applyFont="1" applyBorder="1" applyAlignment="1" applyProtection="1">
      <alignment horizontal="right" wrapText="1"/>
      <protection hidden="1"/>
    </xf>
    <xf numFmtId="4" fontId="4" fillId="0" borderId="7" xfId="0" applyNumberFormat="1" applyFont="1" applyBorder="1" applyAlignment="1" applyProtection="1">
      <alignment horizontal="right" wrapText="1"/>
      <protection hidden="1"/>
    </xf>
    <xf numFmtId="4" fontId="4" fillId="0" borderId="49" xfId="0" applyNumberFormat="1" applyFont="1" applyBorder="1" applyAlignment="1" applyProtection="1">
      <alignment horizontal="right" wrapText="1"/>
      <protection hidden="1"/>
    </xf>
    <xf numFmtId="4" fontId="9" fillId="0" borderId="7" xfId="0" applyNumberFormat="1" applyFont="1" applyBorder="1" applyAlignment="1" applyProtection="1">
      <alignment horizontal="right" wrapText="1"/>
      <protection hidden="1"/>
    </xf>
    <xf numFmtId="4" fontId="4" fillId="0" borderId="19" xfId="0" applyNumberFormat="1" applyFont="1" applyBorder="1" applyAlignment="1" applyProtection="1">
      <alignment horizontal="right" wrapText="1"/>
      <protection hidden="1"/>
    </xf>
    <xf numFmtId="0" fontId="4" fillId="9" borderId="7" xfId="0" applyFont="1" applyFill="1" applyBorder="1" applyAlignment="1" applyProtection="1">
      <alignment vertical="center" wrapText="1"/>
      <protection hidden="1"/>
    </xf>
    <xf numFmtId="4" fontId="4" fillId="9" borderId="49" xfId="0" applyNumberFormat="1" applyFont="1" applyFill="1" applyBorder="1" applyAlignment="1" applyProtection="1">
      <alignment horizontal="right" wrapText="1"/>
      <protection hidden="1"/>
    </xf>
    <xf numFmtId="0" fontId="4" fillId="9" borderId="50" xfId="0" applyFont="1" applyFill="1" applyBorder="1" applyAlignment="1" applyProtection="1">
      <alignment vertical="center" wrapText="1"/>
      <protection hidden="1"/>
    </xf>
    <xf numFmtId="0" fontId="4" fillId="9" borderId="8" xfId="0" applyFont="1" applyFill="1" applyBorder="1" applyAlignment="1" applyProtection="1">
      <alignment vertical="center" wrapText="1"/>
      <protection hidden="1"/>
    </xf>
    <xf numFmtId="4" fontId="4" fillId="9" borderId="51" xfId="0" applyNumberFormat="1" applyFont="1" applyFill="1" applyBorder="1" applyAlignment="1" applyProtection="1">
      <alignment horizontal="right" wrapText="1"/>
      <protection hidden="1"/>
    </xf>
    <xf numFmtId="4" fontId="4" fillId="9" borderId="40" xfId="0" applyNumberFormat="1" applyFont="1" applyFill="1" applyBorder="1" applyAlignment="1" applyProtection="1">
      <alignment horizontal="right" wrapText="1"/>
      <protection hidden="1"/>
    </xf>
    <xf numFmtId="4" fontId="4" fillId="0" borderId="36" xfId="0" applyNumberFormat="1" applyFont="1" applyBorder="1" applyAlignment="1" applyProtection="1">
      <alignment horizontal="right" wrapText="1"/>
      <protection hidden="1"/>
    </xf>
    <xf numFmtId="4" fontId="4" fillId="9" borderId="7" xfId="0" applyNumberFormat="1" applyFont="1" applyFill="1" applyBorder="1" applyAlignment="1" applyProtection="1">
      <alignment horizontal="right" wrapText="1"/>
      <protection hidden="1"/>
    </xf>
    <xf numFmtId="4" fontId="4" fillId="9" borderId="36" xfId="0" applyNumberFormat="1" applyFont="1" applyFill="1" applyBorder="1" applyAlignment="1" applyProtection="1">
      <alignment horizontal="right" wrapText="1"/>
      <protection hidden="1"/>
    </xf>
    <xf numFmtId="4" fontId="4" fillId="9" borderId="7" xfId="0" applyNumberFormat="1" applyFont="1" applyFill="1" applyBorder="1" applyAlignment="1" applyProtection="1">
      <alignment vertical="center" wrapText="1"/>
      <protection hidden="1"/>
    </xf>
    <xf numFmtId="4" fontId="4" fillId="9" borderId="36" xfId="0" applyNumberFormat="1" applyFont="1" applyFill="1" applyBorder="1" applyAlignment="1" applyProtection="1">
      <alignment vertical="center" wrapText="1"/>
      <protection hidden="1"/>
    </xf>
    <xf numFmtId="4" fontId="4" fillId="9" borderId="50" xfId="0" applyNumberFormat="1" applyFont="1" applyFill="1" applyBorder="1" applyAlignment="1" applyProtection="1">
      <alignment vertical="center" wrapText="1"/>
      <protection hidden="1"/>
    </xf>
    <xf numFmtId="4" fontId="4" fillId="9" borderId="8" xfId="0" applyNumberFormat="1" applyFont="1" applyFill="1" applyBorder="1" applyAlignment="1" applyProtection="1">
      <alignment vertical="center" wrapText="1"/>
      <protection hidden="1"/>
    </xf>
    <xf numFmtId="4" fontId="4" fillId="9" borderId="34" xfId="0" applyNumberFormat="1" applyFont="1" applyFill="1" applyBorder="1" applyAlignment="1" applyProtection="1">
      <alignment vertical="center" wrapText="1"/>
      <protection hidden="1"/>
    </xf>
    <xf numFmtId="4" fontId="4" fillId="0" borderId="21" xfId="0" applyNumberFormat="1" applyFont="1" applyBorder="1" applyAlignment="1" applyProtection="1">
      <alignment horizontal="right" wrapText="1"/>
      <protection hidden="1"/>
    </xf>
    <xf numFmtId="4" fontId="4" fillId="9" borderId="21" xfId="0" applyNumberFormat="1" applyFont="1" applyFill="1" applyBorder="1" applyAlignment="1" applyProtection="1">
      <alignment horizontal="right" wrapText="1"/>
      <protection hidden="1"/>
    </xf>
    <xf numFmtId="4" fontId="4" fillId="9" borderId="21" xfId="0" applyNumberFormat="1" applyFont="1" applyFill="1" applyBorder="1" applyAlignment="1" applyProtection="1">
      <alignment vertical="center" wrapText="1"/>
      <protection hidden="1"/>
    </xf>
    <xf numFmtId="4" fontId="4" fillId="9" borderId="52" xfId="0" applyNumberFormat="1" applyFont="1" applyFill="1" applyBorder="1" applyAlignment="1" applyProtection="1">
      <alignment vertical="center" wrapText="1"/>
      <protection hidden="1"/>
    </xf>
    <xf numFmtId="4" fontId="4" fillId="0" borderId="51" xfId="0" applyNumberFormat="1" applyFont="1" applyBorder="1" applyAlignment="1" applyProtection="1">
      <alignment horizontal="right" wrapText="1"/>
      <protection hidden="1"/>
    </xf>
    <xf numFmtId="4" fontId="4" fillId="0" borderId="40" xfId="0" applyNumberFormat="1" applyFont="1" applyBorder="1" applyAlignment="1" applyProtection="1">
      <alignment horizontal="right" wrapText="1"/>
      <protection hidden="1"/>
    </xf>
    <xf numFmtId="0" fontId="5" fillId="21" borderId="3" xfId="1" applyFont="1" applyFill="1" applyBorder="1" applyAlignment="1" applyProtection="1">
      <alignment vertical="center" wrapText="1"/>
      <protection hidden="1"/>
    </xf>
    <xf numFmtId="0" fontId="5" fillId="21" borderId="3" xfId="0" applyFont="1" applyFill="1" applyBorder="1" applyAlignment="1" applyProtection="1">
      <alignment vertical="center" wrapText="1"/>
      <protection hidden="1"/>
    </xf>
    <xf numFmtId="0" fontId="4" fillId="21" borderId="3" xfId="0" applyFont="1" applyFill="1" applyBorder="1" applyAlignment="1" applyProtection="1">
      <alignment vertical="center" wrapText="1"/>
      <protection hidden="1"/>
    </xf>
    <xf numFmtId="0" fontId="5" fillId="27" borderId="3" xfId="1" applyFont="1" applyFill="1" applyBorder="1" applyAlignment="1" applyProtection="1">
      <alignment vertical="center" wrapText="1"/>
      <protection hidden="1"/>
    </xf>
    <xf numFmtId="0" fontId="5" fillId="27" borderId="1" xfId="1" applyFont="1" applyFill="1" applyBorder="1" applyAlignment="1" applyProtection="1">
      <alignment vertical="center" wrapText="1"/>
      <protection hidden="1"/>
    </xf>
    <xf numFmtId="0" fontId="4" fillId="27" borderId="3" xfId="0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3" fillId="0" borderId="54" xfId="1" applyFont="1" applyBorder="1" applyAlignment="1" applyProtection="1">
      <alignment vertical="center" wrapText="1"/>
      <protection hidden="1"/>
    </xf>
    <xf numFmtId="0" fontId="3" fillId="0" borderId="53" xfId="1" applyFont="1" applyBorder="1" applyAlignment="1" applyProtection="1">
      <alignment vertical="center" wrapText="1"/>
      <protection hidden="1"/>
    </xf>
    <xf numFmtId="0" fontId="3" fillId="0" borderId="18" xfId="1" applyFont="1" applyBorder="1" applyAlignment="1" applyProtection="1">
      <alignment vertical="center" wrapText="1"/>
      <protection hidden="1"/>
    </xf>
    <xf numFmtId="0" fontId="3" fillId="0" borderId="17" xfId="1" applyFont="1" applyBorder="1" applyAlignment="1" applyProtection="1">
      <alignment vertical="center" wrapText="1"/>
      <protection hidden="1"/>
    </xf>
    <xf numFmtId="0" fontId="6" fillId="0" borderId="17" xfId="1" applyFont="1" applyBorder="1" applyAlignment="1" applyProtection="1">
      <alignment vertical="center" wrapText="1"/>
      <protection hidden="1"/>
    </xf>
    <xf numFmtId="0" fontId="3" fillId="0" borderId="45" xfId="1" applyFont="1" applyBorder="1" applyAlignment="1" applyProtection="1">
      <alignment horizontal="center" vertical="center" wrapText="1"/>
      <protection hidden="1"/>
    </xf>
    <xf numFmtId="0" fontId="4" fillId="27" borderId="0" xfId="0" applyFont="1" applyFill="1" applyAlignment="1" applyProtection="1">
      <alignment horizontal="center" vertical="center" wrapText="1"/>
      <protection hidden="1"/>
    </xf>
    <xf numFmtId="0" fontId="4" fillId="21" borderId="0" xfId="0" applyFont="1" applyFill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4" fontId="4" fillId="0" borderId="37" xfId="0" applyNumberFormat="1" applyFont="1" applyBorder="1" applyAlignment="1" applyProtection="1">
      <alignment horizontal="right" wrapText="1"/>
      <protection hidden="1"/>
    </xf>
    <xf numFmtId="4" fontId="4" fillId="0" borderId="42" xfId="0" applyNumberFormat="1" applyFont="1" applyBorder="1" applyAlignment="1" applyProtection="1">
      <alignment horizontal="right" wrapText="1"/>
      <protection hidden="1"/>
    </xf>
    <xf numFmtId="4" fontId="4" fillId="0" borderId="45" xfId="0" applyNumberFormat="1" applyFont="1" applyBorder="1" applyAlignment="1" applyProtection="1">
      <alignment horizontal="right" wrapText="1"/>
      <protection hidden="1"/>
    </xf>
    <xf numFmtId="4" fontId="4" fillId="0" borderId="55" xfId="0" applyNumberFormat="1" applyFont="1" applyBorder="1" applyAlignment="1" applyProtection="1">
      <alignment horizontal="right" wrapText="1"/>
      <protection hidden="1"/>
    </xf>
    <xf numFmtId="0" fontId="14" fillId="3" borderId="15" xfId="0" applyFont="1" applyFill="1" applyBorder="1" applyAlignment="1">
      <alignment horizontal="center" vertical="center" wrapText="1"/>
    </xf>
    <xf numFmtId="49" fontId="4" fillId="17" borderId="3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9" xfId="0" applyNumberFormat="1" applyFont="1" applyBorder="1" applyAlignment="1" applyProtection="1">
      <alignment horizontal="right" wrapText="1"/>
      <protection hidden="1"/>
    </xf>
    <xf numFmtId="4" fontId="4" fillId="9" borderId="9" xfId="0" applyNumberFormat="1" applyFont="1" applyFill="1" applyBorder="1" applyAlignment="1" applyProtection="1">
      <alignment vertical="center" wrapText="1"/>
      <protection hidden="1"/>
    </xf>
    <xf numFmtId="4" fontId="4" fillId="9" borderId="56" xfId="0" applyNumberFormat="1" applyFont="1" applyFill="1" applyBorder="1" applyAlignment="1" applyProtection="1">
      <alignment vertical="center" wrapText="1"/>
      <protection hidden="1"/>
    </xf>
    <xf numFmtId="4" fontId="12" fillId="7" borderId="57" xfId="0" applyNumberFormat="1" applyFont="1" applyFill="1" applyBorder="1" applyAlignment="1">
      <alignment vertical="center" wrapText="1"/>
    </xf>
    <xf numFmtId="0" fontId="1" fillId="17" borderId="22" xfId="0" applyFont="1" applyFill="1" applyBorder="1" applyAlignment="1">
      <alignment horizontal="center" vertical="center" wrapText="1"/>
    </xf>
    <xf numFmtId="0" fontId="21" fillId="0" borderId="0" xfId="0" applyFont="1"/>
    <xf numFmtId="3" fontId="22" fillId="0" borderId="3" xfId="0" applyNumberFormat="1" applyFont="1" applyBorder="1"/>
    <xf numFmtId="3" fontId="15" fillId="0" borderId="15" xfId="0" applyNumberFormat="1" applyFont="1" applyBorder="1" applyAlignment="1">
      <alignment horizontal="right" vertical="center" indent="1"/>
    </xf>
    <xf numFmtId="3" fontId="15" fillId="0" borderId="15" xfId="0" applyNumberFormat="1" applyFont="1" applyBorder="1" applyAlignment="1">
      <alignment horizontal="right" vertical="center" wrapText="1" indent="1"/>
    </xf>
    <xf numFmtId="10" fontId="15" fillId="0" borderId="15" xfId="0" applyNumberFormat="1" applyFont="1" applyBorder="1" applyAlignment="1">
      <alignment horizontal="right" vertical="center" indent="1"/>
    </xf>
    <xf numFmtId="10" fontId="15" fillId="0" borderId="15" xfId="0" applyNumberFormat="1" applyFont="1" applyBorder="1" applyAlignment="1">
      <alignment horizontal="right" vertical="center" wrapText="1" indent="1"/>
    </xf>
    <xf numFmtId="4" fontId="4" fillId="0" borderId="0" xfId="0" applyNumberFormat="1" applyFont="1" applyAlignment="1" applyProtection="1">
      <alignment wrapText="1"/>
      <protection hidden="1"/>
    </xf>
    <xf numFmtId="10" fontId="4" fillId="0" borderId="0" xfId="0" applyNumberFormat="1" applyFont="1" applyAlignment="1" applyProtection="1">
      <alignment wrapText="1"/>
      <protection hidden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7" fillId="28" borderId="61" xfId="0" applyFont="1" applyFill="1" applyBorder="1" applyAlignment="1" applyProtection="1">
      <alignment horizontal="center" vertical="center" wrapText="1"/>
      <protection hidden="1"/>
    </xf>
    <xf numFmtId="0" fontId="7" fillId="28" borderId="55" xfId="0" applyFont="1" applyFill="1" applyBorder="1" applyAlignment="1" applyProtection="1">
      <alignment horizontal="center" vertical="center" wrapText="1"/>
      <protection hidden="1"/>
    </xf>
    <xf numFmtId="0" fontId="7" fillId="28" borderId="62" xfId="0" applyFont="1" applyFill="1" applyBorder="1" applyAlignment="1" applyProtection="1">
      <alignment horizontal="center" vertical="center" wrapText="1"/>
      <protection hidden="1"/>
    </xf>
    <xf numFmtId="0" fontId="25" fillId="28" borderId="62" xfId="1" applyFont="1" applyFill="1" applyBorder="1" applyAlignment="1" applyProtection="1">
      <alignment horizontal="center" vertical="center" wrapText="1"/>
      <protection hidden="1"/>
    </xf>
    <xf numFmtId="0" fontId="25" fillId="28" borderId="55" xfId="1" applyFont="1" applyFill="1" applyBorder="1" applyAlignment="1" applyProtection="1">
      <alignment horizontal="center" vertical="center" wrapText="1"/>
      <protection hidden="1"/>
    </xf>
    <xf numFmtId="0" fontId="25" fillId="28" borderId="63" xfId="1" applyFont="1" applyFill="1" applyBorder="1" applyAlignment="1" applyProtection="1">
      <alignment horizontal="center" vertical="center" wrapText="1"/>
      <protection hidden="1"/>
    </xf>
    <xf numFmtId="0" fontId="3" fillId="8" borderId="59" xfId="0" applyFont="1" applyFill="1" applyBorder="1" applyAlignment="1" applyProtection="1">
      <alignment horizontal="center" vertical="center" wrapText="1"/>
      <protection hidden="1"/>
    </xf>
    <xf numFmtId="0" fontId="3" fillId="8" borderId="58" xfId="0" applyFont="1" applyFill="1" applyBorder="1" applyAlignment="1" applyProtection="1">
      <alignment horizontal="center" vertical="center" wrapText="1"/>
      <protection hidden="1"/>
    </xf>
    <xf numFmtId="0" fontId="3" fillId="7" borderId="60" xfId="0" applyFont="1" applyFill="1" applyBorder="1" applyAlignment="1" applyProtection="1">
      <alignment horizontal="center" vertical="center" wrapText="1"/>
      <protection hidden="1"/>
    </xf>
    <xf numFmtId="0" fontId="8" fillId="0" borderId="48" xfId="0" applyFont="1" applyBorder="1"/>
    <xf numFmtId="0" fontId="8" fillId="0" borderId="31" xfId="0" applyFont="1" applyBorder="1"/>
    <xf numFmtId="0" fontId="8" fillId="0" borderId="31" xfId="0" applyFont="1" applyBorder="1" applyAlignment="1">
      <alignment vertical="top" wrapText="1"/>
    </xf>
    <xf numFmtId="0" fontId="8" fillId="0" borderId="31" xfId="0" applyFont="1" applyBorder="1" applyAlignment="1">
      <alignment wrapText="1"/>
    </xf>
    <xf numFmtId="3" fontId="8" fillId="0" borderId="31" xfId="0" applyNumberFormat="1" applyFont="1" applyBorder="1"/>
    <xf numFmtId="3" fontId="8" fillId="0" borderId="31" xfId="0" applyNumberFormat="1" applyFont="1" applyBorder="1" applyAlignment="1">
      <alignment horizontal="right"/>
    </xf>
    <xf numFmtId="3" fontId="8" fillId="0" borderId="37" xfId="0" applyNumberFormat="1" applyFont="1" applyBorder="1"/>
    <xf numFmtId="0" fontId="8" fillId="0" borderId="32" xfId="0" applyFont="1" applyBorder="1"/>
    <xf numFmtId="0" fontId="8" fillId="0" borderId="64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3" fontId="8" fillId="0" borderId="3" xfId="0" applyNumberFormat="1" applyFont="1" applyBorder="1"/>
    <xf numFmtId="3" fontId="8" fillId="0" borderId="3" xfId="0" applyNumberFormat="1" applyFont="1" applyBorder="1" applyAlignment="1">
      <alignment horizontal="right"/>
    </xf>
    <xf numFmtId="3" fontId="8" fillId="0" borderId="9" xfId="0" applyNumberFormat="1" applyFont="1" applyBorder="1"/>
    <xf numFmtId="0" fontId="8" fillId="0" borderId="36" xfId="0" applyFont="1" applyBorder="1"/>
    <xf numFmtId="0" fontId="8" fillId="0" borderId="65" xfId="0" applyFont="1" applyBorder="1"/>
    <xf numFmtId="3" fontId="9" fillId="0" borderId="3" xfId="0" applyNumberFormat="1" applyFont="1" applyBorder="1"/>
    <xf numFmtId="0" fontId="8" fillId="0" borderId="50" xfId="0" applyFont="1" applyBorder="1"/>
    <xf numFmtId="0" fontId="8" fillId="0" borderId="8" xfId="0" applyFont="1" applyBorder="1"/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wrapText="1"/>
    </xf>
    <xf numFmtId="3" fontId="8" fillId="0" borderId="8" xfId="0" applyNumberFormat="1" applyFont="1" applyBorder="1"/>
    <xf numFmtId="3" fontId="8" fillId="0" borderId="8" xfId="0" applyNumberFormat="1" applyFont="1" applyBorder="1" applyAlignment="1">
      <alignment horizontal="right"/>
    </xf>
    <xf numFmtId="3" fontId="8" fillId="0" borderId="56" xfId="0" applyNumberFormat="1" applyFont="1" applyBorder="1"/>
    <xf numFmtId="0" fontId="8" fillId="0" borderId="34" xfId="0" applyFont="1" applyBorder="1"/>
    <xf numFmtId="0" fontId="8" fillId="0" borderId="66" xfId="0" applyFont="1" applyBorder="1"/>
    <xf numFmtId="0" fontId="27" fillId="0" borderId="21" xfId="1" applyFont="1" applyBorder="1" applyAlignment="1" applyProtection="1">
      <alignment vertical="center" wrapText="1"/>
      <protection hidden="1"/>
    </xf>
    <xf numFmtId="0" fontId="27" fillId="0" borderId="4" xfId="1" applyFont="1" applyBorder="1" applyAlignment="1" applyProtection="1">
      <alignment horizontal="center" vertical="center" wrapText="1"/>
      <protection hidden="1"/>
    </xf>
    <xf numFmtId="0" fontId="27" fillId="0" borderId="4" xfId="1" applyFont="1" applyBorder="1" applyAlignment="1" applyProtection="1">
      <alignment vertical="center" wrapText="1"/>
      <protection hidden="1"/>
    </xf>
    <xf numFmtId="0" fontId="27" fillId="0" borderId="7" xfId="1" applyFont="1" applyBorder="1" applyAlignment="1" applyProtection="1">
      <alignment vertical="center" wrapText="1"/>
      <protection hidden="1"/>
    </xf>
    <xf numFmtId="0" fontId="27" fillId="0" borderId="3" xfId="1" applyFont="1" applyBorder="1" applyAlignment="1" applyProtection="1">
      <alignment horizontal="center" vertical="center" wrapText="1"/>
      <protection hidden="1"/>
    </xf>
    <xf numFmtId="0" fontId="27" fillId="0" borderId="3" xfId="1" applyFont="1" applyBorder="1" applyAlignment="1" applyProtection="1">
      <alignment vertical="center" wrapText="1"/>
      <protection hidden="1"/>
    </xf>
    <xf numFmtId="4" fontId="27" fillId="0" borderId="3" xfId="1" applyNumberFormat="1" applyFont="1" applyBorder="1" applyAlignment="1" applyProtection="1">
      <alignment horizontal="right" vertical="center" wrapText="1"/>
      <protection hidden="1"/>
    </xf>
    <xf numFmtId="49" fontId="27" fillId="0" borderId="3" xfId="1" applyNumberFormat="1" applyFont="1" applyBorder="1" applyAlignment="1" applyProtection="1">
      <alignment horizontal="center" vertical="center" wrapText="1"/>
      <protection hidden="1"/>
    </xf>
    <xf numFmtId="0" fontId="27" fillId="0" borderId="3" xfId="0" applyFont="1" applyBorder="1" applyAlignment="1" applyProtection="1">
      <alignment vertical="center" wrapText="1"/>
      <protection hidden="1"/>
    </xf>
    <xf numFmtId="0" fontId="27" fillId="0" borderId="7" xfId="0" applyFont="1" applyBorder="1" applyAlignment="1" applyProtection="1">
      <alignment vertical="center" wrapText="1"/>
      <protection hidden="1"/>
    </xf>
    <xf numFmtId="0" fontId="27" fillId="0" borderId="3" xfId="0" applyFont="1" applyBorder="1" applyAlignment="1" applyProtection="1">
      <alignment horizontal="center" vertical="center" wrapText="1"/>
      <protection hidden="1"/>
    </xf>
    <xf numFmtId="0" fontId="27" fillId="0" borderId="7" xfId="1" applyFont="1" applyBorder="1" applyAlignment="1" applyProtection="1">
      <alignment horizontal="left" vertical="center" wrapText="1"/>
      <protection hidden="1"/>
    </xf>
    <xf numFmtId="0" fontId="26" fillId="0" borderId="3" xfId="1" applyFont="1" applyBorder="1" applyAlignment="1" applyProtection="1">
      <alignment horizontal="center" vertical="center" wrapText="1"/>
      <protection hidden="1"/>
    </xf>
    <xf numFmtId="0" fontId="27" fillId="0" borderId="1" xfId="1" applyFont="1" applyBorder="1" applyAlignment="1" applyProtection="1">
      <alignment horizontal="center" vertical="center" wrapText="1"/>
      <protection hidden="1"/>
    </xf>
    <xf numFmtId="0" fontId="27" fillId="0" borderId="67" xfId="1" applyFont="1" applyBorder="1" applyAlignment="1" applyProtection="1">
      <alignment horizontal="center" vertical="center" wrapText="1"/>
      <protection hidden="1"/>
    </xf>
    <xf numFmtId="0" fontId="27" fillId="0" borderId="19" xfId="1" applyFont="1" applyBorder="1" applyAlignment="1" applyProtection="1">
      <alignment vertical="center" wrapText="1"/>
      <protection hidden="1"/>
    </xf>
    <xf numFmtId="49" fontId="27" fillId="0" borderId="1" xfId="1" applyNumberFormat="1" applyFont="1" applyBorder="1" applyAlignment="1" applyProtection="1">
      <alignment horizontal="center" vertical="center" wrapText="1"/>
      <protection hidden="1"/>
    </xf>
    <xf numFmtId="0" fontId="27" fillId="0" borderId="1" xfId="1" applyFont="1" applyBorder="1" applyAlignment="1" applyProtection="1">
      <alignment vertical="center" wrapText="1"/>
      <protection hidden="1"/>
    </xf>
    <xf numFmtId="0" fontId="0" fillId="0" borderId="67" xfId="0" applyBorder="1"/>
    <xf numFmtId="0" fontId="27" fillId="0" borderId="67" xfId="1" applyFont="1" applyBorder="1" applyAlignment="1" applyProtection="1">
      <alignment vertical="center" wrapText="1"/>
      <protection hidden="1"/>
    </xf>
    <xf numFmtId="0" fontId="27" fillId="0" borderId="68" xfId="1" applyFont="1" applyBorder="1" applyAlignment="1" applyProtection="1">
      <alignment horizontal="center" vertical="center" wrapText="1"/>
      <protection hidden="1"/>
    </xf>
    <xf numFmtId="0" fontId="26" fillId="18" borderId="20" xfId="1" applyFont="1" applyFill="1" applyBorder="1" applyAlignment="1" applyProtection="1">
      <alignment horizontal="center" vertical="center" wrapText="1"/>
      <protection hidden="1"/>
    </xf>
    <xf numFmtId="0" fontId="26" fillId="18" borderId="5" xfId="1" applyFont="1" applyFill="1" applyBorder="1" applyAlignment="1" applyProtection="1">
      <alignment horizontal="center" vertical="center" wrapText="1"/>
      <protection hidden="1"/>
    </xf>
    <xf numFmtId="0" fontId="28" fillId="21" borderId="5" xfId="0" applyFont="1" applyFill="1" applyBorder="1" applyAlignment="1" applyProtection="1">
      <alignment horizontal="center" vertical="center" wrapText="1"/>
      <protection hidden="1"/>
    </xf>
    <xf numFmtId="0" fontId="26" fillId="29" borderId="5" xfId="1" applyFont="1" applyFill="1" applyBorder="1" applyAlignment="1" applyProtection="1">
      <alignment horizontal="center" vertical="center" wrapText="1"/>
      <protection hidden="1"/>
    </xf>
    <xf numFmtId="0" fontId="26" fillId="29" borderId="22" xfId="1" applyFont="1" applyFill="1" applyBorder="1" applyAlignment="1" applyProtection="1">
      <alignment horizontal="center" vertical="center" wrapText="1"/>
      <protection hidden="1"/>
    </xf>
    <xf numFmtId="0" fontId="26" fillId="18" borderId="22" xfId="1" applyFont="1" applyFill="1" applyBorder="1" applyAlignment="1" applyProtection="1">
      <alignment horizontal="center" vertical="center" wrapText="1"/>
      <protection hidden="1"/>
    </xf>
    <xf numFmtId="0" fontId="27" fillId="0" borderId="49" xfId="1" applyFont="1" applyBorder="1" applyAlignment="1" applyProtection="1">
      <alignment horizontal="center" vertical="center" wrapText="1"/>
      <protection hidden="1"/>
    </xf>
    <xf numFmtId="0" fontId="27" fillId="0" borderId="36" xfId="1" applyFont="1" applyBorder="1" applyAlignment="1" applyProtection="1">
      <alignment horizontal="center" vertical="center" wrapText="1"/>
      <protection hidden="1"/>
    </xf>
    <xf numFmtId="0" fontId="27" fillId="0" borderId="36" xfId="0" applyFont="1" applyBorder="1" applyAlignment="1" applyProtection="1">
      <alignment vertical="center" wrapText="1"/>
      <protection hidden="1"/>
    </xf>
    <xf numFmtId="0" fontId="27" fillId="0" borderId="69" xfId="1" applyFont="1" applyBorder="1" applyAlignment="1" applyProtection="1">
      <alignment horizontal="center" vertical="center" wrapText="1"/>
      <protection hidden="1"/>
    </xf>
    <xf numFmtId="0" fontId="27" fillId="0" borderId="70" xfId="1" applyFont="1" applyBorder="1" applyAlignment="1" applyProtection="1">
      <alignment vertical="center" wrapText="1"/>
      <protection hidden="1"/>
    </xf>
    <xf numFmtId="0" fontId="27" fillId="0" borderId="71" xfId="1" applyFont="1" applyBorder="1" applyAlignment="1" applyProtection="1">
      <alignment vertical="center" wrapText="1"/>
      <protection hidden="1"/>
    </xf>
    <xf numFmtId="0" fontId="27" fillId="0" borderId="72" xfId="1" applyFont="1" applyBorder="1" applyAlignment="1" applyProtection="1">
      <alignment horizontal="center" vertical="center" wrapText="1"/>
      <protection hidden="1"/>
    </xf>
    <xf numFmtId="0" fontId="27" fillId="0" borderId="72" xfId="1" applyFont="1" applyBorder="1" applyAlignment="1" applyProtection="1">
      <alignment vertical="center" wrapText="1"/>
      <protection hidden="1"/>
    </xf>
    <xf numFmtId="0" fontId="27" fillId="0" borderId="73" xfId="1" applyFont="1" applyBorder="1" applyAlignment="1" applyProtection="1">
      <alignment vertical="center" wrapText="1"/>
      <protection hidden="1"/>
    </xf>
    <xf numFmtId="0" fontId="27" fillId="0" borderId="74" xfId="1" applyFont="1" applyBorder="1" applyAlignment="1" applyProtection="1">
      <alignment vertical="center" wrapText="1"/>
      <protection hidden="1"/>
    </xf>
    <xf numFmtId="0" fontId="27" fillId="0" borderId="51" xfId="1" applyFont="1" applyBorder="1" applyAlignment="1" applyProtection="1">
      <alignment horizontal="center" vertical="center" wrapText="1"/>
      <protection hidden="1"/>
    </xf>
    <xf numFmtId="0" fontId="27" fillId="0" borderId="74" xfId="1" applyFont="1" applyBorder="1" applyAlignment="1" applyProtection="1">
      <alignment horizontal="center" vertical="center" wrapText="1"/>
      <protection hidden="1"/>
    </xf>
    <xf numFmtId="0" fontId="27" fillId="0" borderId="75" xfId="1" applyFont="1" applyBorder="1" applyAlignment="1" applyProtection="1">
      <alignment vertical="center" wrapText="1"/>
      <protection hidden="1"/>
    </xf>
    <xf numFmtId="0" fontId="28" fillId="21" borderId="20" xfId="0" applyFont="1" applyFill="1" applyBorder="1" applyAlignment="1" applyProtection="1">
      <alignment horizontal="center" vertical="center" wrapText="1"/>
      <protection hidden="1"/>
    </xf>
    <xf numFmtId="0" fontId="26" fillId="29" borderId="25" xfId="1" applyFont="1" applyFill="1" applyBorder="1" applyAlignment="1" applyProtection="1">
      <alignment horizontal="center" vertical="center" wrapText="1"/>
      <protection hidden="1"/>
    </xf>
    <xf numFmtId="0" fontId="27" fillId="0" borderId="48" xfId="1" applyFont="1" applyBorder="1" applyAlignment="1" applyProtection="1">
      <alignment vertical="center" wrapText="1"/>
      <protection hidden="1"/>
    </xf>
    <xf numFmtId="0" fontId="27" fillId="0" borderId="31" xfId="1" applyFont="1" applyBorder="1" applyAlignment="1" applyProtection="1">
      <alignment vertical="center" wrapText="1"/>
      <protection hidden="1"/>
    </xf>
    <xf numFmtId="4" fontId="27" fillId="0" borderId="31" xfId="1" applyNumberFormat="1" applyFont="1" applyBorder="1" applyAlignment="1" applyProtection="1">
      <alignment horizontal="right" vertical="center" wrapText="1"/>
      <protection hidden="1"/>
    </xf>
    <xf numFmtId="0" fontId="27" fillId="0" borderId="50" xfId="1" applyFont="1" applyBorder="1" applyAlignment="1" applyProtection="1">
      <alignment vertical="center" wrapText="1"/>
      <protection hidden="1"/>
    </xf>
    <xf numFmtId="0" fontId="27" fillId="0" borderId="8" xfId="1" applyFont="1" applyBorder="1" applyAlignment="1" applyProtection="1">
      <alignment vertical="center" wrapText="1"/>
      <protection hidden="1"/>
    </xf>
    <xf numFmtId="4" fontId="27" fillId="0" borderId="8" xfId="1" applyNumberFormat="1" applyFont="1" applyBorder="1" applyAlignment="1" applyProtection="1">
      <alignment horizontal="right" vertical="center" wrapText="1"/>
      <protection hidden="1"/>
    </xf>
    <xf numFmtId="0" fontId="26" fillId="30" borderId="20" xfId="1" applyFont="1" applyFill="1" applyBorder="1" applyAlignment="1" applyProtection="1">
      <alignment horizontal="center" vertical="center" wrapText="1"/>
      <protection hidden="1"/>
    </xf>
    <xf numFmtId="0" fontId="26" fillId="30" borderId="5" xfId="1" applyFont="1" applyFill="1" applyBorder="1" applyAlignment="1" applyProtection="1">
      <alignment horizontal="center" vertical="center" wrapText="1"/>
      <protection hidden="1"/>
    </xf>
    <xf numFmtId="4" fontId="27" fillId="0" borderId="32" xfId="1" applyNumberFormat="1" applyFont="1" applyBorder="1" applyAlignment="1" applyProtection="1">
      <alignment horizontal="right" vertical="center" wrapText="1"/>
      <protection hidden="1"/>
    </xf>
    <xf numFmtId="4" fontId="27" fillId="0" borderId="36" xfId="1" applyNumberFormat="1" applyFont="1" applyBorder="1" applyAlignment="1" applyProtection="1">
      <alignment horizontal="right" vertical="center" wrapText="1"/>
      <protection hidden="1"/>
    </xf>
    <xf numFmtId="4" fontId="27" fillId="0" borderId="34" xfId="1" applyNumberFormat="1" applyFont="1" applyBorder="1" applyAlignment="1" applyProtection="1">
      <alignment horizontal="right" vertical="center" wrapText="1"/>
      <protection hidden="1"/>
    </xf>
    <xf numFmtId="4" fontId="8" fillId="0" borderId="0" xfId="0" applyNumberFormat="1" applyFont="1"/>
    <xf numFmtId="4" fontId="8" fillId="0" borderId="3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28" fillId="27" borderId="20" xfId="0" applyFont="1" applyFill="1" applyBorder="1" applyAlignment="1" applyProtection="1">
      <alignment horizontal="center" vertical="center" wrapText="1"/>
      <protection hidden="1"/>
    </xf>
    <xf numFmtId="0" fontId="28" fillId="27" borderId="5" xfId="0" applyFont="1" applyFill="1" applyBorder="1" applyAlignment="1" applyProtection="1">
      <alignment horizontal="center" vertical="center" wrapText="1"/>
      <protection hidden="1"/>
    </xf>
    <xf numFmtId="0" fontId="26" fillId="31" borderId="5" xfId="1" applyFont="1" applyFill="1" applyBorder="1" applyAlignment="1" applyProtection="1">
      <alignment horizontal="center" vertical="center" wrapText="1"/>
      <protection hidden="1"/>
    </xf>
    <xf numFmtId="0" fontId="26" fillId="31" borderId="25" xfId="1" applyFont="1" applyFill="1" applyBorder="1" applyAlignment="1" applyProtection="1">
      <alignment horizontal="center" vertical="center" wrapText="1"/>
      <protection hidden="1"/>
    </xf>
    <xf numFmtId="0" fontId="26" fillId="31" borderId="22" xfId="1" applyFont="1" applyFill="1" applyBorder="1" applyAlignment="1" applyProtection="1">
      <alignment horizontal="center" vertical="center" wrapText="1"/>
      <protection hidden="1"/>
    </xf>
    <xf numFmtId="0" fontId="26" fillId="30" borderId="25" xfId="1" applyFont="1" applyFill="1" applyBorder="1" applyAlignment="1" applyProtection="1">
      <alignment horizontal="center" vertical="center" wrapText="1"/>
      <protection hidden="1"/>
    </xf>
    <xf numFmtId="4" fontId="27" fillId="0" borderId="42" xfId="1" applyNumberFormat="1" applyFont="1" applyBorder="1" applyAlignment="1" applyProtection="1">
      <alignment horizontal="center" vertical="center" wrapText="1"/>
      <protection hidden="1"/>
    </xf>
    <xf numFmtId="4" fontId="8" fillId="0" borderId="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2" fontId="8" fillId="0" borderId="31" xfId="0" applyNumberFormat="1" applyFont="1" applyBorder="1" applyAlignment="1">
      <alignment vertical="center"/>
    </xf>
    <xf numFmtId="2" fontId="8" fillId="0" borderId="3" xfId="0" applyNumberFormat="1" applyFont="1" applyBorder="1" applyAlignment="1">
      <alignment vertical="center"/>
    </xf>
    <xf numFmtId="2" fontId="27" fillId="0" borderId="3" xfId="1" applyNumberFormat="1" applyFont="1" applyBorder="1" applyAlignment="1" applyProtection="1">
      <alignment horizontal="right" vertical="center" wrapText="1"/>
      <protection hidden="1"/>
    </xf>
    <xf numFmtId="2" fontId="8" fillId="0" borderId="8" xfId="0" applyNumberFormat="1" applyFon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11" fillId="16" borderId="12" xfId="0" applyFont="1" applyFill="1" applyBorder="1" applyAlignment="1">
      <alignment horizontal="center"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12" xfId="0" applyFont="1" applyFill="1" applyBorder="1" applyAlignment="1">
      <alignment vertical="center" wrapText="1"/>
    </xf>
    <xf numFmtId="0" fontId="11" fillId="16" borderId="14" xfId="0" applyFont="1" applyFill="1" applyBorder="1" applyAlignment="1">
      <alignment vertical="center" wrapText="1"/>
    </xf>
    <xf numFmtId="3" fontId="11" fillId="16" borderId="12" xfId="0" applyNumberFormat="1" applyFont="1" applyFill="1" applyBorder="1" applyAlignment="1">
      <alignment horizontal="right" vertical="center"/>
    </xf>
    <xf numFmtId="3" fontId="11" fillId="16" borderId="14" xfId="0" applyNumberFormat="1" applyFont="1" applyFill="1" applyBorder="1" applyAlignment="1">
      <alignment horizontal="right" vertical="center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 wrapText="1"/>
    </xf>
    <xf numFmtId="0" fontId="0" fillId="21" borderId="38" xfId="0" applyFill="1" applyBorder="1" applyAlignment="1">
      <alignment horizontal="center"/>
    </xf>
    <xf numFmtId="0" fontId="0" fillId="21" borderId="39" xfId="0" applyFill="1" applyBorder="1" applyAlignment="1">
      <alignment horizontal="center"/>
    </xf>
    <xf numFmtId="0" fontId="0" fillId="21" borderId="16" xfId="0" applyFill="1" applyBorder="1" applyAlignment="1">
      <alignment horizontal="center"/>
    </xf>
    <xf numFmtId="0" fontId="0" fillId="27" borderId="24" xfId="0" applyFill="1" applyBorder="1" applyAlignment="1">
      <alignment horizontal="center"/>
    </xf>
    <xf numFmtId="0" fontId="0" fillId="27" borderId="76" xfId="0" applyFill="1" applyBorder="1" applyAlignment="1">
      <alignment horizontal="center"/>
    </xf>
    <xf numFmtId="0" fontId="0" fillId="27" borderId="60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3" fillId="11" borderId="24" xfId="0" applyFont="1" applyFill="1" applyBorder="1" applyAlignment="1" applyProtection="1">
      <alignment horizontal="center" vertical="center" wrapText="1"/>
      <protection hidden="1"/>
    </xf>
    <xf numFmtId="0" fontId="23" fillId="11" borderId="60" xfId="0" applyFont="1" applyFill="1" applyBorder="1" applyAlignment="1" applyProtection="1">
      <alignment horizontal="center" vertical="center" wrapText="1"/>
      <protection hidden="1"/>
    </xf>
    <xf numFmtId="0" fontId="23" fillId="11" borderId="18" xfId="0" applyFont="1" applyFill="1" applyBorder="1" applyAlignment="1" applyProtection="1">
      <alignment horizontal="center" vertical="center" wrapText="1"/>
      <protection hidden="1"/>
    </xf>
    <xf numFmtId="0" fontId="23" fillId="11" borderId="6" xfId="0" applyFont="1" applyFill="1" applyBorder="1" applyAlignment="1" applyProtection="1">
      <alignment horizontal="center" vertical="center" wrapText="1"/>
      <protection hidden="1"/>
    </xf>
    <xf numFmtId="0" fontId="23" fillId="11" borderId="54" xfId="0" applyFont="1" applyFill="1" applyBorder="1" applyAlignment="1" applyProtection="1">
      <alignment horizontal="center" vertical="center" wrapText="1"/>
      <protection hidden="1"/>
    </xf>
    <xf numFmtId="0" fontId="23" fillId="11" borderId="15" xfId="0" applyFont="1" applyFill="1" applyBorder="1" applyAlignment="1" applyProtection="1">
      <alignment horizontal="center" vertical="center" wrapText="1"/>
      <protection hidden="1"/>
    </xf>
    <xf numFmtId="0" fontId="1" fillId="20" borderId="0" xfId="0" applyFont="1" applyFill="1" applyAlignment="1">
      <alignment horizontal="center" vertical="center"/>
    </xf>
    <xf numFmtId="0" fontId="0" fillId="5" borderId="38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16" xfId="0" applyFill="1" applyBorder="1" applyAlignment="1">
      <alignment horizontal="center"/>
    </xf>
  </cellXfs>
  <cellStyles count="2">
    <cellStyle name="Normální" xfId="0" builtinId="0"/>
    <cellStyle name="Normální 3" xfId="1" xr:uid="{181B2A21-EC40-4D8A-88FC-6A4CB95CFC9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Účelová neinvestiční dotace ze státního rozpočtu</a:t>
            </a:r>
            <a:r>
              <a:rPr lang="cs-CZ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kapitola 313 MPSV </a:t>
            </a:r>
            <a:br>
              <a:rPr lang="cs-CZ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</a:br>
            <a:r>
              <a:rPr lang="cs-CZ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(finanční podpora v letech 2015 - 2023)</a:t>
            </a:r>
            <a:endParaRPr lang="cs-CZ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5023269021196911"/>
          <c:y val="0.24613928472090355"/>
          <c:w val="0.78161102669183891"/>
          <c:h val="0.60880481566190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60E-4BEA-8B91-ABAC6A9D86E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60E-4BEA-8B91-ABAC6A9D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613583"/>
        <c:axId val="1646255440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60E-4BEA-8B91-ABAC6A9D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15439"/>
        <c:axId val="1646252560"/>
      </c:lineChart>
      <c:catAx>
        <c:axId val="9261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646255440"/>
        <c:crosses val="autoZero"/>
        <c:auto val="1"/>
        <c:lblAlgn val="ctr"/>
        <c:lblOffset val="100"/>
        <c:noMultiLvlLbl val="0"/>
      </c:catAx>
      <c:valAx>
        <c:axId val="1646255440"/>
        <c:scaling>
          <c:orientation val="minMax"/>
          <c:max val="14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Kč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92613583"/>
        <c:crosses val="autoZero"/>
        <c:crossBetween val="between"/>
      </c:valAx>
      <c:valAx>
        <c:axId val="1646252560"/>
        <c:scaling>
          <c:orientation val="minMax"/>
          <c:max val="1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92615439"/>
        <c:crosses val="max"/>
        <c:crossBetween val="between"/>
        <c:majorUnit val="0.2"/>
      </c:valAx>
      <c:catAx>
        <c:axId val="926154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46252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C1560C-7E93-4040-B119-28754C25EB00}">
  <sheetPr/>
  <sheetViews>
    <sheetView zoomScale="114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697" cy="598236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C01B5FD-D3F1-530D-5779-6429BA4C69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832B-915C-459D-BFCA-2DD4C2696F34}">
  <dimension ref="A1:H355"/>
  <sheetViews>
    <sheetView topLeftCell="A97" workbookViewId="0">
      <selection activeCell="G103" sqref="G103"/>
    </sheetView>
  </sheetViews>
  <sheetFormatPr defaultRowHeight="15" x14ac:dyDescent="0.25"/>
  <sheetData>
    <row r="1" spans="1:8" ht="15.75" customHeight="1" x14ac:dyDescent="0.25">
      <c r="A1" s="378" t="s">
        <v>0</v>
      </c>
      <c r="B1" s="378" t="s">
        <v>1</v>
      </c>
      <c r="C1" s="378" t="s">
        <v>2</v>
      </c>
      <c r="D1" s="378" t="s">
        <v>3</v>
      </c>
      <c r="E1" s="378" t="s">
        <v>4</v>
      </c>
      <c r="F1" s="378" t="s">
        <v>5</v>
      </c>
      <c r="G1" s="378" t="s">
        <v>6</v>
      </c>
      <c r="H1" s="2"/>
    </row>
    <row r="2" spans="1:8" ht="15.75" thickBot="1" x14ac:dyDescent="0.3">
      <c r="A2" s="379"/>
      <c r="B2" s="379"/>
      <c r="C2" s="379"/>
      <c r="D2" s="379"/>
      <c r="E2" s="379"/>
      <c r="F2" s="379"/>
      <c r="G2" s="379"/>
      <c r="H2" s="2"/>
    </row>
    <row r="3" spans="1:8" ht="32.25" thickBot="1" x14ac:dyDescent="0.3">
      <c r="A3" s="46" t="s">
        <v>7</v>
      </c>
      <c r="B3" s="47" t="s">
        <v>8</v>
      </c>
      <c r="C3" s="48">
        <v>22871080</v>
      </c>
      <c r="D3" s="47" t="s">
        <v>9</v>
      </c>
      <c r="E3" s="48">
        <v>8899363</v>
      </c>
      <c r="F3" s="47" t="s">
        <v>10</v>
      </c>
      <c r="G3" s="49">
        <v>253000</v>
      </c>
      <c r="H3" s="2"/>
    </row>
    <row r="4" spans="1:8" ht="42.75" thickBot="1" x14ac:dyDescent="0.3">
      <c r="A4" s="46" t="s">
        <v>11</v>
      </c>
      <c r="B4" s="47" t="s">
        <v>8</v>
      </c>
      <c r="C4" s="48">
        <v>22871080</v>
      </c>
      <c r="D4" s="47" t="s">
        <v>9</v>
      </c>
      <c r="E4" s="48">
        <v>6265472</v>
      </c>
      <c r="F4" s="47" t="s">
        <v>12</v>
      </c>
      <c r="G4" s="49">
        <v>337000</v>
      </c>
      <c r="H4" s="2"/>
    </row>
    <row r="5" spans="1:8" ht="15.75" customHeight="1" x14ac:dyDescent="0.25">
      <c r="A5" s="372" t="s">
        <v>13</v>
      </c>
      <c r="B5" s="51" t="s">
        <v>14</v>
      </c>
      <c r="C5" s="372">
        <v>26611716</v>
      </c>
      <c r="D5" s="374" t="s">
        <v>15</v>
      </c>
      <c r="E5" s="372">
        <v>4385424</v>
      </c>
      <c r="F5" s="374" t="s">
        <v>10</v>
      </c>
      <c r="G5" s="376">
        <v>130000</v>
      </c>
      <c r="H5" s="371"/>
    </row>
    <row r="6" spans="1:8" ht="15.75" thickBot="1" x14ac:dyDescent="0.3">
      <c r="A6" s="373"/>
      <c r="B6" s="52" t="s">
        <v>16</v>
      </c>
      <c r="C6" s="373"/>
      <c r="D6" s="375"/>
      <c r="E6" s="373"/>
      <c r="F6" s="375"/>
      <c r="G6" s="377"/>
      <c r="H6" s="371"/>
    </row>
    <row r="7" spans="1:8" ht="53.25" thickBot="1" x14ac:dyDescent="0.3">
      <c r="A7" s="46" t="s">
        <v>17</v>
      </c>
      <c r="B7" s="52" t="s">
        <v>18</v>
      </c>
      <c r="C7" s="53">
        <v>570931</v>
      </c>
      <c r="D7" s="52" t="s">
        <v>19</v>
      </c>
      <c r="E7" s="53">
        <v>1303151</v>
      </c>
      <c r="F7" s="52" t="s">
        <v>20</v>
      </c>
      <c r="G7" s="54">
        <v>131000</v>
      </c>
      <c r="H7" s="2"/>
    </row>
    <row r="8" spans="1:8" ht="53.25" thickBot="1" x14ac:dyDescent="0.3">
      <c r="A8" s="46" t="s">
        <v>21</v>
      </c>
      <c r="B8" s="52" t="s">
        <v>18</v>
      </c>
      <c r="C8" s="53">
        <v>570931</v>
      </c>
      <c r="D8" s="52" t="s">
        <v>22</v>
      </c>
      <c r="E8" s="53">
        <v>1020591</v>
      </c>
      <c r="F8" s="52" t="s">
        <v>23</v>
      </c>
      <c r="G8" s="54">
        <v>154000</v>
      </c>
      <c r="H8" s="2"/>
    </row>
    <row r="9" spans="1:8" ht="53.25" thickBot="1" x14ac:dyDescent="0.3">
      <c r="A9" s="46" t="s">
        <v>24</v>
      </c>
      <c r="B9" s="52" t="s">
        <v>18</v>
      </c>
      <c r="C9" s="53">
        <v>570931</v>
      </c>
      <c r="D9" s="52" t="s">
        <v>22</v>
      </c>
      <c r="E9" s="53">
        <v>5918012</v>
      </c>
      <c r="F9" s="52" t="s">
        <v>25</v>
      </c>
      <c r="G9" s="54">
        <v>264000</v>
      </c>
      <c r="H9" s="2"/>
    </row>
    <row r="10" spans="1:8" ht="53.25" thickBot="1" x14ac:dyDescent="0.3">
      <c r="A10" s="46" t="s">
        <v>26</v>
      </c>
      <c r="B10" s="52" t="s">
        <v>18</v>
      </c>
      <c r="C10" s="53">
        <v>570931</v>
      </c>
      <c r="D10" s="52" t="s">
        <v>22</v>
      </c>
      <c r="E10" s="53">
        <v>9860755</v>
      </c>
      <c r="F10" s="52" t="s">
        <v>27</v>
      </c>
      <c r="G10" s="54">
        <v>57000</v>
      </c>
      <c r="H10" s="2"/>
    </row>
    <row r="11" spans="1:8" ht="53.25" thickBot="1" x14ac:dyDescent="0.3">
      <c r="A11" s="46" t="s">
        <v>28</v>
      </c>
      <c r="B11" s="52" t="s">
        <v>18</v>
      </c>
      <c r="C11" s="53">
        <v>570931</v>
      </c>
      <c r="D11" s="52" t="s">
        <v>22</v>
      </c>
      <c r="E11" s="53">
        <v>1420566</v>
      </c>
      <c r="F11" s="52" t="s">
        <v>27</v>
      </c>
      <c r="G11" s="54">
        <v>174000</v>
      </c>
      <c r="H11" s="2"/>
    </row>
    <row r="12" spans="1:8" ht="53.25" thickBot="1" x14ac:dyDescent="0.3">
      <c r="A12" s="46" t="s">
        <v>29</v>
      </c>
      <c r="B12" s="52" t="s">
        <v>18</v>
      </c>
      <c r="C12" s="53">
        <v>570931</v>
      </c>
      <c r="D12" s="52" t="s">
        <v>22</v>
      </c>
      <c r="E12" s="53">
        <v>3822869</v>
      </c>
      <c r="F12" s="52" t="s">
        <v>20</v>
      </c>
      <c r="G12" s="54">
        <v>154000</v>
      </c>
      <c r="H12" s="2"/>
    </row>
    <row r="13" spans="1:8" ht="53.25" thickBot="1" x14ac:dyDescent="0.3">
      <c r="A13" s="46" t="s">
        <v>30</v>
      </c>
      <c r="B13" s="52" t="s">
        <v>18</v>
      </c>
      <c r="C13" s="53">
        <v>570931</v>
      </c>
      <c r="D13" s="52" t="s">
        <v>22</v>
      </c>
      <c r="E13" s="53">
        <v>1775589</v>
      </c>
      <c r="F13" s="52" t="s">
        <v>27</v>
      </c>
      <c r="G13" s="54">
        <v>354000</v>
      </c>
      <c r="H13" s="2"/>
    </row>
    <row r="14" spans="1:8" ht="53.25" thickBot="1" x14ac:dyDescent="0.3">
      <c r="A14" s="46" t="s">
        <v>31</v>
      </c>
      <c r="B14" s="52" t="s">
        <v>18</v>
      </c>
      <c r="C14" s="53">
        <v>570931</v>
      </c>
      <c r="D14" s="52" t="s">
        <v>22</v>
      </c>
      <c r="E14" s="53">
        <v>2481915</v>
      </c>
      <c r="F14" s="52" t="s">
        <v>23</v>
      </c>
      <c r="G14" s="54">
        <v>203000</v>
      </c>
      <c r="H14" s="2"/>
    </row>
    <row r="15" spans="1:8" ht="84.75" thickBot="1" x14ac:dyDescent="0.3">
      <c r="A15" s="46" t="s">
        <v>32</v>
      </c>
      <c r="B15" s="52" t="s">
        <v>33</v>
      </c>
      <c r="C15" s="53">
        <v>26593980</v>
      </c>
      <c r="D15" s="52" t="s">
        <v>34</v>
      </c>
      <c r="E15" s="53">
        <v>7559709</v>
      </c>
      <c r="F15" s="52" t="s">
        <v>35</v>
      </c>
      <c r="G15" s="49">
        <v>490000</v>
      </c>
      <c r="H15" s="2"/>
    </row>
    <row r="16" spans="1:8" ht="84.75" thickBot="1" x14ac:dyDescent="0.3">
      <c r="A16" s="46" t="s">
        <v>36</v>
      </c>
      <c r="B16" s="52" t="s">
        <v>33</v>
      </c>
      <c r="C16" s="53">
        <v>26593980</v>
      </c>
      <c r="D16" s="52" t="s">
        <v>34</v>
      </c>
      <c r="E16" s="53">
        <v>7135154</v>
      </c>
      <c r="F16" s="52" t="s">
        <v>35</v>
      </c>
      <c r="G16" s="49">
        <v>490000</v>
      </c>
      <c r="H16" s="2"/>
    </row>
    <row r="17" spans="1:8" ht="84.75" thickBot="1" x14ac:dyDescent="0.3">
      <c r="A17" s="46" t="s">
        <v>37</v>
      </c>
      <c r="B17" s="52" t="s">
        <v>33</v>
      </c>
      <c r="C17" s="53">
        <v>26593980</v>
      </c>
      <c r="D17" s="52" t="s">
        <v>34</v>
      </c>
      <c r="E17" s="53">
        <v>9349276</v>
      </c>
      <c r="F17" s="52" t="s">
        <v>35</v>
      </c>
      <c r="G17" s="49">
        <v>490000</v>
      </c>
      <c r="H17" s="2"/>
    </row>
    <row r="18" spans="1:8" ht="84.75" thickBot="1" x14ac:dyDescent="0.3">
      <c r="A18" s="46" t="s">
        <v>38</v>
      </c>
      <c r="B18" s="52" t="s">
        <v>33</v>
      </c>
      <c r="C18" s="53">
        <v>26593980</v>
      </c>
      <c r="D18" s="52" t="s">
        <v>34</v>
      </c>
      <c r="E18" s="53">
        <v>3852372</v>
      </c>
      <c r="F18" s="52" t="s">
        <v>35</v>
      </c>
      <c r="G18" s="49">
        <v>490000</v>
      </c>
      <c r="H18" s="2"/>
    </row>
    <row r="19" spans="1:8" ht="84.75" thickBot="1" x14ac:dyDescent="0.3">
      <c r="A19" s="46" t="s">
        <v>39</v>
      </c>
      <c r="B19" s="52" t="s">
        <v>33</v>
      </c>
      <c r="C19" s="53">
        <v>26593980</v>
      </c>
      <c r="D19" s="52" t="s">
        <v>34</v>
      </c>
      <c r="E19" s="53">
        <v>2453453</v>
      </c>
      <c r="F19" s="52" t="s">
        <v>40</v>
      </c>
      <c r="G19" s="54">
        <v>87000</v>
      </c>
      <c r="H19" s="2"/>
    </row>
    <row r="20" spans="1:8" ht="84.75" thickBot="1" x14ac:dyDescent="0.3">
      <c r="A20" s="46" t="s">
        <v>41</v>
      </c>
      <c r="B20" s="52" t="s">
        <v>33</v>
      </c>
      <c r="C20" s="53">
        <v>26593980</v>
      </c>
      <c r="D20" s="52" t="s">
        <v>34</v>
      </c>
      <c r="E20" s="53">
        <v>1656576</v>
      </c>
      <c r="F20" s="52" t="s">
        <v>42</v>
      </c>
      <c r="G20" s="54">
        <v>236000</v>
      </c>
      <c r="H20" s="2"/>
    </row>
    <row r="21" spans="1:8" ht="84.75" thickBot="1" x14ac:dyDescent="0.3">
      <c r="A21" s="46" t="s">
        <v>43</v>
      </c>
      <c r="B21" s="52" t="s">
        <v>33</v>
      </c>
      <c r="C21" s="53">
        <v>26593980</v>
      </c>
      <c r="D21" s="52" t="s">
        <v>34</v>
      </c>
      <c r="E21" s="53">
        <v>5362299</v>
      </c>
      <c r="F21" s="52" t="s">
        <v>42</v>
      </c>
      <c r="G21" s="54">
        <v>99000</v>
      </c>
      <c r="H21" s="2"/>
    </row>
    <row r="22" spans="1:8" ht="84.75" thickBot="1" x14ac:dyDescent="0.3">
      <c r="A22" s="46" t="s">
        <v>44</v>
      </c>
      <c r="B22" s="52" t="s">
        <v>33</v>
      </c>
      <c r="C22" s="53">
        <v>26593980</v>
      </c>
      <c r="D22" s="52" t="s">
        <v>34</v>
      </c>
      <c r="E22" s="53">
        <v>2164863</v>
      </c>
      <c r="F22" s="52" t="s">
        <v>42</v>
      </c>
      <c r="G22" s="54">
        <v>143000</v>
      </c>
      <c r="H22" s="2"/>
    </row>
    <row r="23" spans="1:8" ht="84.75" thickBot="1" x14ac:dyDescent="0.3">
      <c r="A23" s="46" t="s">
        <v>45</v>
      </c>
      <c r="B23" s="52" t="s">
        <v>33</v>
      </c>
      <c r="C23" s="53">
        <v>26593980</v>
      </c>
      <c r="D23" s="52" t="s">
        <v>34</v>
      </c>
      <c r="E23" s="53">
        <v>6806376</v>
      </c>
      <c r="F23" s="52" t="s">
        <v>42</v>
      </c>
      <c r="G23" s="54">
        <v>99000</v>
      </c>
      <c r="H23" s="2"/>
    </row>
    <row r="24" spans="1:8" ht="32.25" thickBot="1" x14ac:dyDescent="0.3">
      <c r="A24" s="46" t="s">
        <v>46</v>
      </c>
      <c r="B24" s="52" t="s">
        <v>47</v>
      </c>
      <c r="C24" s="53">
        <v>22889159</v>
      </c>
      <c r="D24" s="52" t="s">
        <v>48</v>
      </c>
      <c r="E24" s="53">
        <v>7555345</v>
      </c>
      <c r="F24" s="52" t="s">
        <v>27</v>
      </c>
      <c r="G24" s="54">
        <v>73000</v>
      </c>
      <c r="H24" s="2"/>
    </row>
    <row r="25" spans="1:8" ht="42.75" thickBot="1" x14ac:dyDescent="0.3">
      <c r="A25" s="46" t="s">
        <v>49</v>
      </c>
      <c r="B25" s="52" t="s">
        <v>50</v>
      </c>
      <c r="C25" s="53">
        <v>26520699</v>
      </c>
      <c r="D25" s="52" t="s">
        <v>51</v>
      </c>
      <c r="E25" s="53">
        <v>6940940</v>
      </c>
      <c r="F25" s="52" t="s">
        <v>52</v>
      </c>
      <c r="G25" s="49">
        <v>490000</v>
      </c>
      <c r="H25" s="2"/>
    </row>
    <row r="26" spans="1:8" ht="42.75" thickBot="1" x14ac:dyDescent="0.3">
      <c r="A26" s="46" t="s">
        <v>53</v>
      </c>
      <c r="B26" s="52" t="s">
        <v>50</v>
      </c>
      <c r="C26" s="53">
        <v>26520699</v>
      </c>
      <c r="D26" s="52" t="s">
        <v>51</v>
      </c>
      <c r="E26" s="53">
        <v>3146268</v>
      </c>
      <c r="F26" s="52" t="s">
        <v>25</v>
      </c>
      <c r="G26" s="49">
        <v>261000</v>
      </c>
      <c r="H26" s="2"/>
    </row>
    <row r="27" spans="1:8" ht="42.75" thickBot="1" x14ac:dyDescent="0.3">
      <c r="A27" s="46" t="s">
        <v>54</v>
      </c>
      <c r="B27" s="52" t="s">
        <v>50</v>
      </c>
      <c r="C27" s="53">
        <v>26520699</v>
      </c>
      <c r="D27" s="52" t="s">
        <v>51</v>
      </c>
      <c r="E27" s="53">
        <v>9958898</v>
      </c>
      <c r="F27" s="52" t="s">
        <v>25</v>
      </c>
      <c r="G27" s="49">
        <v>270000</v>
      </c>
      <c r="H27" s="2"/>
    </row>
    <row r="28" spans="1:8" ht="53.25" thickBot="1" x14ac:dyDescent="0.3">
      <c r="A28" s="46" t="s">
        <v>55</v>
      </c>
      <c r="B28" s="52" t="s">
        <v>56</v>
      </c>
      <c r="C28" s="53">
        <v>22829903</v>
      </c>
      <c r="D28" s="52" t="s">
        <v>57</v>
      </c>
      <c r="E28" s="53">
        <v>8419868</v>
      </c>
      <c r="F28" s="52" t="s">
        <v>35</v>
      </c>
      <c r="G28" s="49">
        <v>490000</v>
      </c>
      <c r="H28" s="2"/>
    </row>
    <row r="29" spans="1:8" ht="53.25" thickBot="1" x14ac:dyDescent="0.3">
      <c r="A29" s="46" t="s">
        <v>58</v>
      </c>
      <c r="B29" s="52" t="s">
        <v>56</v>
      </c>
      <c r="C29" s="53">
        <v>22829903</v>
      </c>
      <c r="D29" s="52" t="s">
        <v>57</v>
      </c>
      <c r="E29" s="53">
        <v>5391602</v>
      </c>
      <c r="F29" s="52" t="s">
        <v>59</v>
      </c>
      <c r="G29" s="49">
        <v>490000</v>
      </c>
      <c r="H29" s="2"/>
    </row>
    <row r="30" spans="1:8" ht="63.75" thickBot="1" x14ac:dyDescent="0.3">
      <c r="A30" s="46" t="s">
        <v>60</v>
      </c>
      <c r="B30" s="52" t="s">
        <v>61</v>
      </c>
      <c r="C30" s="53">
        <v>27291049</v>
      </c>
      <c r="D30" s="52" t="s">
        <v>62</v>
      </c>
      <c r="E30" s="53">
        <v>4353078</v>
      </c>
      <c r="F30" s="52" t="s">
        <v>63</v>
      </c>
      <c r="G30" s="49">
        <v>404000</v>
      </c>
      <c r="H30" s="2"/>
    </row>
    <row r="31" spans="1:8" ht="63.75" thickBot="1" x14ac:dyDescent="0.3">
      <c r="A31" s="46" t="s">
        <v>64</v>
      </c>
      <c r="B31" s="52" t="s">
        <v>61</v>
      </c>
      <c r="C31" s="53">
        <v>27291049</v>
      </c>
      <c r="D31" s="52" t="s">
        <v>62</v>
      </c>
      <c r="E31" s="53">
        <v>5227172</v>
      </c>
      <c r="F31" s="52" t="s">
        <v>65</v>
      </c>
      <c r="G31" s="49">
        <v>490000</v>
      </c>
      <c r="H31" s="2"/>
    </row>
    <row r="32" spans="1:8" ht="63.75" thickBot="1" x14ac:dyDescent="0.3">
      <c r="A32" s="46" t="s">
        <v>66</v>
      </c>
      <c r="B32" s="52" t="s">
        <v>61</v>
      </c>
      <c r="C32" s="53">
        <v>27291049</v>
      </c>
      <c r="D32" s="52" t="s">
        <v>62</v>
      </c>
      <c r="E32" s="53">
        <v>6650186</v>
      </c>
      <c r="F32" s="52" t="s">
        <v>12</v>
      </c>
      <c r="G32" s="54">
        <v>253000</v>
      </c>
      <c r="H32" s="2"/>
    </row>
    <row r="33" spans="1:8" ht="53.25" thickBot="1" x14ac:dyDescent="0.3">
      <c r="A33" s="46" t="s">
        <v>67</v>
      </c>
      <c r="B33" s="52" t="s">
        <v>68</v>
      </c>
      <c r="C33" s="53">
        <v>68455232</v>
      </c>
      <c r="D33" s="52" t="s">
        <v>69</v>
      </c>
      <c r="E33" s="53">
        <v>9813481</v>
      </c>
      <c r="F33" s="52" t="s">
        <v>70</v>
      </c>
      <c r="G33" s="54">
        <v>303000</v>
      </c>
      <c r="H33" s="2"/>
    </row>
    <row r="34" spans="1:8" ht="53.25" thickBot="1" x14ac:dyDescent="0.3">
      <c r="A34" s="46" t="s">
        <v>71</v>
      </c>
      <c r="B34" s="52" t="s">
        <v>72</v>
      </c>
      <c r="C34" s="53">
        <v>73632791</v>
      </c>
      <c r="D34" s="52" t="s">
        <v>73</v>
      </c>
      <c r="E34" s="53">
        <v>3988103</v>
      </c>
      <c r="F34" s="52" t="s">
        <v>52</v>
      </c>
      <c r="G34" s="49">
        <v>490000</v>
      </c>
      <c r="H34" s="2"/>
    </row>
    <row r="35" spans="1:8" ht="53.25" thickBot="1" x14ac:dyDescent="0.3">
      <c r="A35" s="46" t="s">
        <v>74</v>
      </c>
      <c r="B35" s="52" t="s">
        <v>75</v>
      </c>
      <c r="C35" s="53">
        <v>28731191</v>
      </c>
      <c r="D35" s="52" t="s">
        <v>76</v>
      </c>
      <c r="E35" s="53">
        <v>3959325</v>
      </c>
      <c r="F35" s="52" t="s">
        <v>77</v>
      </c>
      <c r="G35" s="49">
        <v>490000</v>
      </c>
      <c r="H35" s="2"/>
    </row>
    <row r="36" spans="1:8" ht="63.75" thickBot="1" x14ac:dyDescent="0.3">
      <c r="A36" s="46" t="s">
        <v>78</v>
      </c>
      <c r="B36" s="52" t="s">
        <v>75</v>
      </c>
      <c r="C36" s="53">
        <v>28731191</v>
      </c>
      <c r="D36" s="52" t="s">
        <v>76</v>
      </c>
      <c r="E36" s="53">
        <v>4823957</v>
      </c>
      <c r="F36" s="52" t="s">
        <v>79</v>
      </c>
      <c r="G36" s="49">
        <v>490000</v>
      </c>
      <c r="H36" s="2"/>
    </row>
    <row r="37" spans="1:8" ht="63.75" thickBot="1" x14ac:dyDescent="0.3">
      <c r="A37" s="46" t="s">
        <v>80</v>
      </c>
      <c r="B37" s="52" t="s">
        <v>81</v>
      </c>
      <c r="C37" s="53">
        <v>25447726</v>
      </c>
      <c r="D37" s="52" t="s">
        <v>82</v>
      </c>
      <c r="E37" s="53">
        <v>2049573</v>
      </c>
      <c r="F37" s="52" t="s">
        <v>35</v>
      </c>
      <c r="G37" s="49">
        <v>490000</v>
      </c>
      <c r="H37" s="2"/>
    </row>
    <row r="38" spans="1:8" ht="32.25" thickBot="1" x14ac:dyDescent="0.3">
      <c r="A38" s="46" t="s">
        <v>83</v>
      </c>
      <c r="B38" s="52" t="s">
        <v>84</v>
      </c>
      <c r="C38" s="53">
        <v>27016781</v>
      </c>
      <c r="D38" s="52" t="s">
        <v>85</v>
      </c>
      <c r="E38" s="53">
        <v>9603734</v>
      </c>
      <c r="F38" s="52" t="s">
        <v>86</v>
      </c>
      <c r="G38" s="49">
        <v>233000</v>
      </c>
      <c r="H38" s="2"/>
    </row>
    <row r="39" spans="1:8" ht="53.25" thickBot="1" x14ac:dyDescent="0.3">
      <c r="A39" s="46" t="s">
        <v>87</v>
      </c>
      <c r="B39" s="52" t="s">
        <v>88</v>
      </c>
      <c r="C39" s="53">
        <v>40229939</v>
      </c>
      <c r="D39" s="52" t="s">
        <v>89</v>
      </c>
      <c r="E39" s="53">
        <v>3632154</v>
      </c>
      <c r="F39" s="52" t="s">
        <v>90</v>
      </c>
      <c r="G39" s="54">
        <v>377000</v>
      </c>
      <c r="H39" s="2"/>
    </row>
    <row r="40" spans="1:8" ht="53.25" thickBot="1" x14ac:dyDescent="0.3">
      <c r="A40" s="46" t="s">
        <v>91</v>
      </c>
      <c r="B40" s="52" t="s">
        <v>92</v>
      </c>
      <c r="C40" s="53">
        <v>28700210</v>
      </c>
      <c r="D40" s="52" t="s">
        <v>93</v>
      </c>
      <c r="E40" s="53">
        <v>9543067</v>
      </c>
      <c r="F40" s="52" t="s">
        <v>70</v>
      </c>
      <c r="G40" s="54">
        <v>160000</v>
      </c>
      <c r="H40" s="2"/>
    </row>
    <row r="41" spans="1:8" ht="53.25" thickBot="1" x14ac:dyDescent="0.3">
      <c r="A41" s="46" t="s">
        <v>94</v>
      </c>
      <c r="B41" s="52" t="s">
        <v>92</v>
      </c>
      <c r="C41" s="53">
        <v>28700210</v>
      </c>
      <c r="D41" s="52" t="s">
        <v>93</v>
      </c>
      <c r="E41" s="53">
        <v>3069495</v>
      </c>
      <c r="F41" s="52" t="s">
        <v>42</v>
      </c>
      <c r="G41" s="54">
        <v>348000</v>
      </c>
      <c r="H41" s="2"/>
    </row>
    <row r="42" spans="1:8" ht="53.25" thickBot="1" x14ac:dyDescent="0.3">
      <c r="A42" s="46" t="s">
        <v>95</v>
      </c>
      <c r="B42" s="52" t="s">
        <v>92</v>
      </c>
      <c r="C42" s="53">
        <v>28700210</v>
      </c>
      <c r="D42" s="52" t="s">
        <v>93</v>
      </c>
      <c r="E42" s="53">
        <v>4343228</v>
      </c>
      <c r="F42" s="52" t="s">
        <v>42</v>
      </c>
      <c r="G42" s="49">
        <v>490000</v>
      </c>
      <c r="H42" s="2"/>
    </row>
    <row r="43" spans="1:8" ht="42.75" thickBot="1" x14ac:dyDescent="0.3">
      <c r="A43" s="46" t="s">
        <v>96</v>
      </c>
      <c r="B43" s="52" t="s">
        <v>97</v>
      </c>
      <c r="C43" s="53">
        <v>26623064</v>
      </c>
      <c r="D43" s="52" t="s">
        <v>98</v>
      </c>
      <c r="E43" s="53">
        <v>1201824</v>
      </c>
      <c r="F43" s="52" t="s">
        <v>65</v>
      </c>
      <c r="G43" s="54">
        <v>51000</v>
      </c>
      <c r="H43" s="2"/>
    </row>
    <row r="44" spans="1:8" ht="42.75" thickBot="1" x14ac:dyDescent="0.3">
      <c r="A44" s="55" t="s">
        <v>99</v>
      </c>
      <c r="B44" s="52" t="s">
        <v>97</v>
      </c>
      <c r="C44" s="53">
        <v>26623064</v>
      </c>
      <c r="D44" s="52" t="s">
        <v>98</v>
      </c>
      <c r="E44" s="53">
        <v>9864940</v>
      </c>
      <c r="F44" s="52" t="s">
        <v>42</v>
      </c>
      <c r="G44" s="49">
        <v>33000</v>
      </c>
      <c r="H44" s="2"/>
    </row>
    <row r="45" spans="1:8" ht="42.75" thickBot="1" x14ac:dyDescent="0.3">
      <c r="A45" s="55" t="s">
        <v>100</v>
      </c>
      <c r="B45" s="52" t="s">
        <v>97</v>
      </c>
      <c r="C45" s="53">
        <v>26623065</v>
      </c>
      <c r="D45" s="52" t="s">
        <v>98</v>
      </c>
      <c r="E45" s="53">
        <v>2284277</v>
      </c>
      <c r="F45" s="52" t="s">
        <v>70</v>
      </c>
      <c r="G45" s="49">
        <v>22000</v>
      </c>
      <c r="H45" s="2"/>
    </row>
    <row r="46" spans="1:8" ht="63.75" thickBot="1" x14ac:dyDescent="0.3">
      <c r="A46" s="55" t="s">
        <v>101</v>
      </c>
      <c r="B46" s="52" t="s">
        <v>97</v>
      </c>
      <c r="C46" s="53">
        <v>26623066</v>
      </c>
      <c r="D46" s="52" t="s">
        <v>98</v>
      </c>
      <c r="E46" s="53">
        <v>7472903</v>
      </c>
      <c r="F46" s="52" t="s">
        <v>79</v>
      </c>
      <c r="G46" s="49">
        <v>25000</v>
      </c>
      <c r="H46" s="2"/>
    </row>
    <row r="47" spans="1:8" ht="84.75" thickBot="1" x14ac:dyDescent="0.3">
      <c r="A47" s="55" t="s">
        <v>102</v>
      </c>
      <c r="B47" s="52" t="s">
        <v>97</v>
      </c>
      <c r="C47" s="53">
        <v>26623067</v>
      </c>
      <c r="D47" s="52" t="s">
        <v>98</v>
      </c>
      <c r="E47" s="53">
        <v>4319542</v>
      </c>
      <c r="F47" s="52" t="s">
        <v>103</v>
      </c>
      <c r="G47" s="49">
        <v>18000</v>
      </c>
      <c r="H47" s="2"/>
    </row>
    <row r="48" spans="1:8" ht="53.25" thickBot="1" x14ac:dyDescent="0.3">
      <c r="A48" s="55" t="s">
        <v>104</v>
      </c>
      <c r="B48" s="52" t="s">
        <v>105</v>
      </c>
      <c r="C48" s="53">
        <v>27322793</v>
      </c>
      <c r="D48" s="52" t="s">
        <v>106</v>
      </c>
      <c r="E48" s="53">
        <v>2527518</v>
      </c>
      <c r="F48" s="52" t="s">
        <v>10</v>
      </c>
      <c r="G48" s="49">
        <v>490000</v>
      </c>
      <c r="H48" s="2"/>
    </row>
    <row r="49" spans="1:8" ht="53.25" thickBot="1" x14ac:dyDescent="0.3">
      <c r="A49" s="55" t="s">
        <v>107</v>
      </c>
      <c r="B49" s="52" t="s">
        <v>108</v>
      </c>
      <c r="C49" s="53">
        <v>8848254</v>
      </c>
      <c r="D49" s="52" t="s">
        <v>109</v>
      </c>
      <c r="E49" s="53">
        <v>7356784</v>
      </c>
      <c r="F49" s="52" t="s">
        <v>110</v>
      </c>
      <c r="G49" s="49">
        <v>174000</v>
      </c>
      <c r="H49" s="2"/>
    </row>
    <row r="50" spans="1:8" ht="63.75" thickBot="1" x14ac:dyDescent="0.3">
      <c r="A50" s="55" t="s">
        <v>111</v>
      </c>
      <c r="B50" s="52" t="s">
        <v>108</v>
      </c>
      <c r="C50" s="53">
        <v>8848254</v>
      </c>
      <c r="D50" s="52" t="s">
        <v>109</v>
      </c>
      <c r="E50" s="53">
        <v>3661910</v>
      </c>
      <c r="F50" s="52" t="s">
        <v>79</v>
      </c>
      <c r="G50" s="49">
        <v>116000</v>
      </c>
      <c r="H50" s="2"/>
    </row>
    <row r="51" spans="1:8" ht="63.75" thickBot="1" x14ac:dyDescent="0.3">
      <c r="A51" s="55" t="s">
        <v>112</v>
      </c>
      <c r="B51" s="52" t="s">
        <v>113</v>
      </c>
      <c r="C51" s="53">
        <v>1679198</v>
      </c>
      <c r="D51" s="52" t="s">
        <v>114</v>
      </c>
      <c r="E51" s="53">
        <v>7734736</v>
      </c>
      <c r="F51" s="52" t="s">
        <v>90</v>
      </c>
      <c r="G51" s="49">
        <v>490000</v>
      </c>
      <c r="H51" s="2"/>
    </row>
    <row r="52" spans="1:8" ht="53.25" thickBot="1" x14ac:dyDescent="0.3">
      <c r="A52" s="55" t="s">
        <v>115</v>
      </c>
      <c r="B52" s="52" t="s">
        <v>116</v>
      </c>
      <c r="C52" s="53">
        <v>2771527</v>
      </c>
      <c r="D52" s="52" t="s">
        <v>117</v>
      </c>
      <c r="E52" s="53">
        <v>8384795</v>
      </c>
      <c r="F52" s="52" t="s">
        <v>118</v>
      </c>
      <c r="G52" s="49">
        <v>250000</v>
      </c>
      <c r="H52" s="2"/>
    </row>
    <row r="53" spans="1:8" ht="53.25" thickBot="1" x14ac:dyDescent="0.3">
      <c r="A53" s="55" t="s">
        <v>119</v>
      </c>
      <c r="B53" s="52" t="s">
        <v>120</v>
      </c>
      <c r="C53" s="53">
        <v>27323773</v>
      </c>
      <c r="D53" s="52" t="s">
        <v>121</v>
      </c>
      <c r="E53" s="53">
        <v>6224406</v>
      </c>
      <c r="F53" s="52" t="s">
        <v>25</v>
      </c>
      <c r="G53" s="49">
        <v>348000</v>
      </c>
      <c r="H53" s="2"/>
    </row>
    <row r="54" spans="1:8" ht="53.25" thickBot="1" x14ac:dyDescent="0.3">
      <c r="A54" s="55" t="s">
        <v>122</v>
      </c>
      <c r="B54" s="52" t="s">
        <v>123</v>
      </c>
      <c r="C54" s="53">
        <v>8751641</v>
      </c>
      <c r="D54" s="52" t="s">
        <v>124</v>
      </c>
      <c r="E54" s="53">
        <v>8752756</v>
      </c>
      <c r="F54" s="52" t="s">
        <v>110</v>
      </c>
      <c r="G54" s="49">
        <v>174000</v>
      </c>
      <c r="H54" s="2"/>
    </row>
    <row r="55" spans="1:8" ht="53.25" thickBot="1" x14ac:dyDescent="0.3">
      <c r="A55" s="55" t="s">
        <v>125</v>
      </c>
      <c r="B55" s="52" t="s">
        <v>126</v>
      </c>
      <c r="C55" s="53">
        <v>4570243</v>
      </c>
      <c r="D55" s="52" t="s">
        <v>127</v>
      </c>
      <c r="E55" s="53">
        <v>7885329</v>
      </c>
      <c r="F55" s="52" t="s">
        <v>86</v>
      </c>
      <c r="G55" s="49">
        <v>220000</v>
      </c>
      <c r="H55" s="2"/>
    </row>
    <row r="56" spans="1:8" ht="42.75" thickBot="1" x14ac:dyDescent="0.3">
      <c r="A56" s="55" t="s">
        <v>128</v>
      </c>
      <c r="B56" s="52" t="s">
        <v>129</v>
      </c>
      <c r="C56" s="53">
        <v>65635591</v>
      </c>
      <c r="D56" s="52" t="s">
        <v>130</v>
      </c>
      <c r="E56" s="53">
        <v>6552817</v>
      </c>
      <c r="F56" s="52" t="s">
        <v>70</v>
      </c>
      <c r="G56" s="49">
        <v>307000</v>
      </c>
      <c r="H56" s="2"/>
    </row>
    <row r="57" spans="1:8" ht="42.75" thickBot="1" x14ac:dyDescent="0.3">
      <c r="A57" s="55" t="s">
        <v>131</v>
      </c>
      <c r="B57" s="52" t="s">
        <v>129</v>
      </c>
      <c r="C57" s="53">
        <v>65635591</v>
      </c>
      <c r="D57" s="52" t="s">
        <v>130</v>
      </c>
      <c r="E57" s="53">
        <v>4142726</v>
      </c>
      <c r="F57" s="52" t="s">
        <v>132</v>
      </c>
      <c r="G57" s="49">
        <v>142000</v>
      </c>
      <c r="H57" s="2"/>
    </row>
    <row r="58" spans="1:8" ht="42.75" thickBot="1" x14ac:dyDescent="0.3">
      <c r="A58" s="55" t="s">
        <v>133</v>
      </c>
      <c r="B58" s="52" t="s">
        <v>129</v>
      </c>
      <c r="C58" s="53">
        <v>65635591</v>
      </c>
      <c r="D58" s="52" t="s">
        <v>130</v>
      </c>
      <c r="E58" s="53">
        <v>4853448</v>
      </c>
      <c r="F58" s="52" t="s">
        <v>134</v>
      </c>
      <c r="G58" s="49">
        <v>484000</v>
      </c>
      <c r="H58" s="2"/>
    </row>
    <row r="59" spans="1:8" ht="42.75" thickBot="1" x14ac:dyDescent="0.3">
      <c r="A59" s="55" t="s">
        <v>135</v>
      </c>
      <c r="B59" s="52" t="s">
        <v>136</v>
      </c>
      <c r="C59" s="53">
        <v>26636328</v>
      </c>
      <c r="D59" s="52" t="s">
        <v>137</v>
      </c>
      <c r="E59" s="53">
        <v>8791447</v>
      </c>
      <c r="F59" s="52" t="s">
        <v>70</v>
      </c>
      <c r="G59" s="49">
        <v>70000</v>
      </c>
      <c r="H59" s="2"/>
    </row>
    <row r="60" spans="1:8" ht="63.75" thickBot="1" x14ac:dyDescent="0.3">
      <c r="A60" s="55" t="s">
        <v>138</v>
      </c>
      <c r="B60" s="52" t="s">
        <v>136</v>
      </c>
      <c r="C60" s="53">
        <v>26636328</v>
      </c>
      <c r="D60" s="52" t="s">
        <v>137</v>
      </c>
      <c r="E60" s="53">
        <v>6374958</v>
      </c>
      <c r="F60" s="52" t="s">
        <v>79</v>
      </c>
      <c r="G60" s="49">
        <v>116000</v>
      </c>
      <c r="H60" s="2"/>
    </row>
    <row r="61" spans="1:8" ht="63.75" thickBot="1" x14ac:dyDescent="0.3">
      <c r="A61" s="55" t="s">
        <v>139</v>
      </c>
      <c r="B61" s="52" t="s">
        <v>136</v>
      </c>
      <c r="C61" s="53">
        <v>26636328</v>
      </c>
      <c r="D61" s="52" t="s">
        <v>137</v>
      </c>
      <c r="E61" s="53">
        <v>3910140</v>
      </c>
      <c r="F61" s="52" t="s">
        <v>79</v>
      </c>
      <c r="G61" s="49">
        <v>290000</v>
      </c>
      <c r="H61" s="2"/>
    </row>
    <row r="62" spans="1:8" ht="84.75" thickBot="1" x14ac:dyDescent="0.3">
      <c r="A62" s="55" t="s">
        <v>140</v>
      </c>
      <c r="B62" s="52" t="s">
        <v>136</v>
      </c>
      <c r="C62" s="53">
        <v>26636328</v>
      </c>
      <c r="D62" s="52" t="s">
        <v>137</v>
      </c>
      <c r="E62" s="53">
        <v>8054292</v>
      </c>
      <c r="F62" s="52" t="s">
        <v>103</v>
      </c>
      <c r="G62" s="49">
        <v>70000</v>
      </c>
      <c r="H62" s="2"/>
    </row>
    <row r="63" spans="1:8" ht="42.75" thickBot="1" x14ac:dyDescent="0.3">
      <c r="A63" s="55" t="s">
        <v>141</v>
      </c>
      <c r="B63" s="52" t="s">
        <v>136</v>
      </c>
      <c r="C63" s="53">
        <v>26636328</v>
      </c>
      <c r="D63" s="52" t="s">
        <v>137</v>
      </c>
      <c r="E63" s="53">
        <v>5063729</v>
      </c>
      <c r="F63" s="52" t="s">
        <v>27</v>
      </c>
      <c r="G63" s="49">
        <v>70000</v>
      </c>
      <c r="H63" s="2"/>
    </row>
    <row r="64" spans="1:8" ht="42.75" thickBot="1" x14ac:dyDescent="0.3">
      <c r="A64" s="55" t="s">
        <v>142</v>
      </c>
      <c r="B64" s="52" t="s">
        <v>143</v>
      </c>
      <c r="C64" s="53">
        <v>26200481</v>
      </c>
      <c r="D64" s="52" t="s">
        <v>144</v>
      </c>
      <c r="E64" s="53">
        <v>3843439</v>
      </c>
      <c r="F64" s="52" t="s">
        <v>10</v>
      </c>
      <c r="G64" s="49">
        <v>99000</v>
      </c>
      <c r="H64" s="2"/>
    </row>
    <row r="65" spans="1:8" ht="63.75" thickBot="1" x14ac:dyDescent="0.3">
      <c r="A65" s="55" t="s">
        <v>145</v>
      </c>
      <c r="B65" s="52" t="s">
        <v>146</v>
      </c>
      <c r="C65" s="53">
        <v>73633755</v>
      </c>
      <c r="D65" s="52" t="s">
        <v>147</v>
      </c>
      <c r="E65" s="53">
        <v>2584331</v>
      </c>
      <c r="F65" s="52" t="s">
        <v>79</v>
      </c>
      <c r="G65" s="49">
        <v>174000</v>
      </c>
      <c r="H65" s="2"/>
    </row>
    <row r="66" spans="1:8" ht="53.25" thickBot="1" x14ac:dyDescent="0.3">
      <c r="A66" s="55" t="s">
        <v>148</v>
      </c>
      <c r="B66" s="52" t="s">
        <v>149</v>
      </c>
      <c r="C66" s="53">
        <v>29043913</v>
      </c>
      <c r="D66" s="52" t="s">
        <v>150</v>
      </c>
      <c r="E66" s="53">
        <v>7253089</v>
      </c>
      <c r="F66" s="52" t="s">
        <v>90</v>
      </c>
      <c r="G66" s="49">
        <v>421000</v>
      </c>
      <c r="H66" s="2"/>
    </row>
    <row r="67" spans="1:8" ht="53.25" thickBot="1" x14ac:dyDescent="0.3">
      <c r="A67" s="55" t="s">
        <v>151</v>
      </c>
      <c r="B67" s="52" t="s">
        <v>149</v>
      </c>
      <c r="C67" s="53">
        <v>29043913</v>
      </c>
      <c r="D67" s="52" t="s">
        <v>150</v>
      </c>
      <c r="E67" s="53">
        <v>5968921</v>
      </c>
      <c r="F67" s="52" t="s">
        <v>42</v>
      </c>
      <c r="G67" s="49">
        <v>116000</v>
      </c>
      <c r="H67" s="2"/>
    </row>
    <row r="68" spans="1:8" ht="53.25" thickBot="1" x14ac:dyDescent="0.3">
      <c r="A68" s="55" t="s">
        <v>152</v>
      </c>
      <c r="B68" s="52" t="s">
        <v>149</v>
      </c>
      <c r="C68" s="53">
        <v>29043913</v>
      </c>
      <c r="D68" s="52" t="s">
        <v>150</v>
      </c>
      <c r="E68" s="53">
        <v>7143232</v>
      </c>
      <c r="F68" s="52" t="s">
        <v>35</v>
      </c>
      <c r="G68" s="49">
        <v>490000</v>
      </c>
      <c r="H68" s="2"/>
    </row>
    <row r="69" spans="1:8" ht="63.75" thickBot="1" x14ac:dyDescent="0.3">
      <c r="A69" s="55" t="s">
        <v>153</v>
      </c>
      <c r="B69" s="52" t="s">
        <v>154</v>
      </c>
      <c r="C69" s="53">
        <v>25405080</v>
      </c>
      <c r="D69" s="52" t="s">
        <v>155</v>
      </c>
      <c r="E69" s="53">
        <v>4873800</v>
      </c>
      <c r="F69" s="52" t="s">
        <v>35</v>
      </c>
      <c r="G69" s="49">
        <v>490000</v>
      </c>
      <c r="H69" s="2"/>
    </row>
    <row r="70" spans="1:8" ht="53.25" thickBot="1" x14ac:dyDescent="0.3">
      <c r="A70" s="55" t="s">
        <v>156</v>
      </c>
      <c r="B70" s="52" t="s">
        <v>157</v>
      </c>
      <c r="C70" s="53">
        <v>63125137</v>
      </c>
      <c r="D70" s="52" t="s">
        <v>158</v>
      </c>
      <c r="E70" s="53">
        <v>1220799</v>
      </c>
      <c r="F70" s="52" t="s">
        <v>159</v>
      </c>
      <c r="G70" s="49">
        <v>237000</v>
      </c>
      <c r="H70" s="2"/>
    </row>
    <row r="71" spans="1:8" ht="53.25" thickBot="1" x14ac:dyDescent="0.3">
      <c r="A71" s="55" t="s">
        <v>160</v>
      </c>
      <c r="B71" s="52" t="s">
        <v>157</v>
      </c>
      <c r="C71" s="53">
        <v>63125137</v>
      </c>
      <c r="D71" s="52" t="s">
        <v>158</v>
      </c>
      <c r="E71" s="53">
        <v>3801846</v>
      </c>
      <c r="F71" s="52" t="s">
        <v>161</v>
      </c>
      <c r="G71" s="49">
        <v>154000</v>
      </c>
      <c r="H71" s="2"/>
    </row>
    <row r="72" spans="1:8" ht="53.25" thickBot="1" x14ac:dyDescent="0.3">
      <c r="A72" s="55" t="s">
        <v>162</v>
      </c>
      <c r="B72" s="52" t="s">
        <v>157</v>
      </c>
      <c r="C72" s="53">
        <v>63125137</v>
      </c>
      <c r="D72" s="52" t="s">
        <v>158</v>
      </c>
      <c r="E72" s="53">
        <v>8306216</v>
      </c>
      <c r="F72" s="52" t="s">
        <v>27</v>
      </c>
      <c r="G72" s="49">
        <v>490000</v>
      </c>
      <c r="H72" s="2"/>
    </row>
    <row r="73" spans="1:8" ht="53.25" thickBot="1" x14ac:dyDescent="0.3">
      <c r="A73" s="55" t="s">
        <v>163</v>
      </c>
      <c r="B73" s="52" t="s">
        <v>157</v>
      </c>
      <c r="C73" s="53">
        <v>63125137</v>
      </c>
      <c r="D73" s="52" t="s">
        <v>158</v>
      </c>
      <c r="E73" s="53">
        <v>1229581</v>
      </c>
      <c r="F73" s="52" t="s">
        <v>161</v>
      </c>
      <c r="G73" s="49">
        <v>348000</v>
      </c>
      <c r="H73" s="2"/>
    </row>
    <row r="74" spans="1:8" ht="53.25" thickBot="1" x14ac:dyDescent="0.3">
      <c r="A74" s="55" t="s">
        <v>164</v>
      </c>
      <c r="B74" s="52" t="s">
        <v>157</v>
      </c>
      <c r="C74" s="53">
        <v>63125137</v>
      </c>
      <c r="D74" s="52" t="s">
        <v>158</v>
      </c>
      <c r="E74" s="53">
        <v>3775974</v>
      </c>
      <c r="F74" s="52" t="s">
        <v>27</v>
      </c>
      <c r="G74" s="49">
        <v>116000</v>
      </c>
      <c r="H74" s="2"/>
    </row>
    <row r="75" spans="1:8" ht="53.25" thickBot="1" x14ac:dyDescent="0.3">
      <c r="A75" s="55" t="s">
        <v>165</v>
      </c>
      <c r="B75" s="52" t="s">
        <v>166</v>
      </c>
      <c r="C75" s="53">
        <v>40233189</v>
      </c>
      <c r="D75" s="52" t="s">
        <v>167</v>
      </c>
      <c r="E75" s="53">
        <v>5231429</v>
      </c>
      <c r="F75" s="52" t="s">
        <v>90</v>
      </c>
      <c r="G75" s="49">
        <v>490000</v>
      </c>
      <c r="H75" s="2"/>
    </row>
    <row r="76" spans="1:8" ht="42.75" thickBot="1" x14ac:dyDescent="0.3">
      <c r="A76" s="55" t="s">
        <v>168</v>
      </c>
      <c r="B76" s="52" t="s">
        <v>169</v>
      </c>
      <c r="C76" s="53">
        <v>70226148</v>
      </c>
      <c r="D76" s="52" t="s">
        <v>170</v>
      </c>
      <c r="E76" s="53">
        <v>1297986</v>
      </c>
      <c r="F76" s="52" t="s">
        <v>25</v>
      </c>
      <c r="G76" s="49">
        <v>490000</v>
      </c>
      <c r="H76" s="2"/>
    </row>
    <row r="77" spans="1:8" ht="53.25" thickBot="1" x14ac:dyDescent="0.3">
      <c r="A77" s="55" t="s">
        <v>171</v>
      </c>
      <c r="B77" s="52" t="s">
        <v>169</v>
      </c>
      <c r="C77" s="53">
        <v>70226148</v>
      </c>
      <c r="D77" s="52" t="s">
        <v>170</v>
      </c>
      <c r="E77" s="53">
        <v>6790491</v>
      </c>
      <c r="F77" s="52" t="s">
        <v>110</v>
      </c>
      <c r="G77" s="49">
        <v>232000</v>
      </c>
      <c r="H77" s="2"/>
    </row>
    <row r="78" spans="1:8" ht="63.75" thickBot="1" x14ac:dyDescent="0.3">
      <c r="A78" s="55" t="s">
        <v>172</v>
      </c>
      <c r="B78" s="52" t="s">
        <v>169</v>
      </c>
      <c r="C78" s="53">
        <v>70226148</v>
      </c>
      <c r="D78" s="52" t="s">
        <v>170</v>
      </c>
      <c r="E78" s="53">
        <v>2925974</v>
      </c>
      <c r="F78" s="52" t="s">
        <v>79</v>
      </c>
      <c r="G78" s="49">
        <v>406000</v>
      </c>
      <c r="H78" s="2"/>
    </row>
    <row r="79" spans="1:8" ht="63.75" thickBot="1" x14ac:dyDescent="0.3">
      <c r="A79" s="55" t="s">
        <v>173</v>
      </c>
      <c r="B79" s="52" t="s">
        <v>174</v>
      </c>
      <c r="C79" s="53">
        <v>26537036</v>
      </c>
      <c r="D79" s="52" t="s">
        <v>175</v>
      </c>
      <c r="E79" s="53">
        <v>1161877</v>
      </c>
      <c r="F79" s="52" t="s">
        <v>27</v>
      </c>
      <c r="G79" s="49">
        <v>490000</v>
      </c>
      <c r="H79" s="2"/>
    </row>
    <row r="80" spans="1:8" ht="63.75" thickBot="1" x14ac:dyDescent="0.3">
      <c r="A80" s="55" t="s">
        <v>176</v>
      </c>
      <c r="B80" s="52" t="s">
        <v>174</v>
      </c>
      <c r="C80" s="53">
        <v>26537036</v>
      </c>
      <c r="D80" s="52" t="s">
        <v>175</v>
      </c>
      <c r="E80" s="53">
        <v>1464519</v>
      </c>
      <c r="F80" s="52" t="s">
        <v>70</v>
      </c>
      <c r="G80" s="49">
        <v>116000</v>
      </c>
      <c r="H80" s="2"/>
    </row>
    <row r="81" spans="1:8" ht="53.25" thickBot="1" x14ac:dyDescent="0.3">
      <c r="A81" s="55" t="s">
        <v>177</v>
      </c>
      <c r="B81" s="52" t="s">
        <v>178</v>
      </c>
      <c r="C81" s="53">
        <v>27298523</v>
      </c>
      <c r="D81" s="52" t="s">
        <v>179</v>
      </c>
      <c r="E81" s="53">
        <v>3166608</v>
      </c>
      <c r="F81" s="52" t="s">
        <v>180</v>
      </c>
      <c r="G81" s="49">
        <v>490000</v>
      </c>
      <c r="H81" s="2"/>
    </row>
    <row r="82" spans="1:8" ht="53.25" thickBot="1" x14ac:dyDescent="0.3">
      <c r="A82" s="55" t="s">
        <v>181</v>
      </c>
      <c r="B82" s="52" t="s">
        <v>178</v>
      </c>
      <c r="C82" s="53">
        <v>27298523</v>
      </c>
      <c r="D82" s="52" t="s">
        <v>179</v>
      </c>
      <c r="E82" s="53">
        <v>7044506</v>
      </c>
      <c r="F82" s="52" t="s">
        <v>65</v>
      </c>
      <c r="G82" s="49">
        <v>490000</v>
      </c>
      <c r="H82" s="2"/>
    </row>
    <row r="83" spans="1:8" ht="53.25" thickBot="1" x14ac:dyDescent="0.3">
      <c r="A83" s="55" t="s">
        <v>182</v>
      </c>
      <c r="B83" s="52" t="s">
        <v>178</v>
      </c>
      <c r="C83" s="53">
        <v>27298523</v>
      </c>
      <c r="D83" s="52" t="s">
        <v>179</v>
      </c>
      <c r="E83" s="53">
        <v>2718583</v>
      </c>
      <c r="F83" s="52" t="s">
        <v>12</v>
      </c>
      <c r="G83" s="49">
        <v>151000</v>
      </c>
      <c r="H83" s="2"/>
    </row>
    <row r="84" spans="1:8" ht="53.25" thickBot="1" x14ac:dyDescent="0.3">
      <c r="A84" s="55" t="s">
        <v>183</v>
      </c>
      <c r="B84" s="52" t="s">
        <v>178</v>
      </c>
      <c r="C84" s="53">
        <v>27298523</v>
      </c>
      <c r="D84" s="52" t="s">
        <v>179</v>
      </c>
      <c r="E84" s="53">
        <v>5793673</v>
      </c>
      <c r="F84" s="52" t="s">
        <v>35</v>
      </c>
      <c r="G84" s="49">
        <v>290000</v>
      </c>
      <c r="H84" s="2"/>
    </row>
    <row r="85" spans="1:8" ht="53.25" thickBot="1" x14ac:dyDescent="0.3">
      <c r="A85" s="55" t="s">
        <v>184</v>
      </c>
      <c r="B85" s="52" t="s">
        <v>185</v>
      </c>
      <c r="C85" s="53">
        <v>73633992</v>
      </c>
      <c r="D85" s="52" t="s">
        <v>186</v>
      </c>
      <c r="E85" s="53">
        <v>8492814</v>
      </c>
      <c r="F85" s="52" t="s">
        <v>110</v>
      </c>
      <c r="G85" s="49">
        <v>174000</v>
      </c>
      <c r="H85" s="2"/>
    </row>
    <row r="86" spans="1:8" ht="53.25" thickBot="1" x14ac:dyDescent="0.3">
      <c r="A86" s="55" t="s">
        <v>187</v>
      </c>
      <c r="B86" s="52" t="s">
        <v>185</v>
      </c>
      <c r="C86" s="53">
        <v>73633992</v>
      </c>
      <c r="D86" s="52" t="s">
        <v>186</v>
      </c>
      <c r="E86" s="53">
        <v>3428319</v>
      </c>
      <c r="F86" s="52" t="s">
        <v>110</v>
      </c>
      <c r="G86" s="49">
        <v>290000</v>
      </c>
      <c r="H86" s="2"/>
    </row>
    <row r="87" spans="1:8" ht="63.75" thickBot="1" x14ac:dyDescent="0.3">
      <c r="A87" s="55" t="s">
        <v>188</v>
      </c>
      <c r="B87" s="52" t="s">
        <v>185</v>
      </c>
      <c r="C87" s="53">
        <v>73633993</v>
      </c>
      <c r="D87" s="52" t="s">
        <v>189</v>
      </c>
      <c r="E87" s="53">
        <v>7080749</v>
      </c>
      <c r="F87" s="52" t="s">
        <v>79</v>
      </c>
      <c r="G87" s="49">
        <v>232000</v>
      </c>
      <c r="H87" s="2"/>
    </row>
    <row r="88" spans="1:8" ht="53.25" thickBot="1" x14ac:dyDescent="0.3">
      <c r="A88" s="55" t="s">
        <v>190</v>
      </c>
      <c r="B88" s="52" t="s">
        <v>185</v>
      </c>
      <c r="C88" s="53">
        <v>73633992</v>
      </c>
      <c r="D88" s="52" t="s">
        <v>186</v>
      </c>
      <c r="E88" s="53">
        <v>5741111</v>
      </c>
      <c r="F88" s="52" t="s">
        <v>90</v>
      </c>
      <c r="G88" s="49">
        <v>490000</v>
      </c>
      <c r="H88" s="2"/>
    </row>
    <row r="89" spans="1:8" ht="53.25" thickBot="1" x14ac:dyDescent="0.3">
      <c r="A89" s="55" t="s">
        <v>191</v>
      </c>
      <c r="B89" s="52" t="s">
        <v>192</v>
      </c>
      <c r="C89" s="53">
        <v>25755277</v>
      </c>
      <c r="D89" s="52" t="s">
        <v>193</v>
      </c>
      <c r="E89" s="53">
        <v>5235056</v>
      </c>
      <c r="F89" s="52" t="s">
        <v>110</v>
      </c>
      <c r="G89" s="49">
        <v>174000</v>
      </c>
      <c r="H89" s="2"/>
    </row>
    <row r="90" spans="1:8" ht="53.25" thickBot="1" x14ac:dyDescent="0.3">
      <c r="A90" s="55" t="s">
        <v>194</v>
      </c>
      <c r="B90" s="52" t="s">
        <v>192</v>
      </c>
      <c r="C90" s="53">
        <v>25755277</v>
      </c>
      <c r="D90" s="52" t="s">
        <v>193</v>
      </c>
      <c r="E90" s="53">
        <v>6719009</v>
      </c>
      <c r="F90" s="52" t="s">
        <v>70</v>
      </c>
      <c r="G90" s="49">
        <v>348000</v>
      </c>
      <c r="H90" s="2"/>
    </row>
    <row r="91" spans="1:8" ht="53.25" thickBot="1" x14ac:dyDescent="0.3">
      <c r="A91" s="55" t="s">
        <v>195</v>
      </c>
      <c r="B91" s="52" t="s">
        <v>192</v>
      </c>
      <c r="C91" s="53">
        <v>25755277</v>
      </c>
      <c r="D91" s="52" t="s">
        <v>193</v>
      </c>
      <c r="E91" s="50">
        <v>5713240</v>
      </c>
      <c r="F91" s="56" t="s">
        <v>27</v>
      </c>
      <c r="G91" s="49">
        <v>348000</v>
      </c>
      <c r="H91" s="2"/>
    </row>
    <row r="92" spans="1:8" ht="63.75" thickBot="1" x14ac:dyDescent="0.3">
      <c r="A92" s="55" t="s">
        <v>196</v>
      </c>
      <c r="B92" s="52" t="s">
        <v>197</v>
      </c>
      <c r="C92" s="53">
        <v>46749411</v>
      </c>
      <c r="D92" s="52" t="s">
        <v>198</v>
      </c>
      <c r="E92" s="57">
        <v>1226991</v>
      </c>
      <c r="F92" s="52" t="s">
        <v>59</v>
      </c>
      <c r="G92" s="49">
        <v>490000</v>
      </c>
      <c r="H92" s="2"/>
    </row>
    <row r="93" spans="1:8" ht="63.75" thickBot="1" x14ac:dyDescent="0.3">
      <c r="A93" s="55" t="s">
        <v>199</v>
      </c>
      <c r="B93" s="52" t="s">
        <v>197</v>
      </c>
      <c r="C93" s="53">
        <v>46749411</v>
      </c>
      <c r="D93" s="52" t="s">
        <v>198</v>
      </c>
      <c r="E93" s="50">
        <v>3865693</v>
      </c>
      <c r="F93" s="56" t="s">
        <v>65</v>
      </c>
      <c r="G93" s="49">
        <v>490000</v>
      </c>
      <c r="H93" s="2"/>
    </row>
    <row r="94" spans="1:8" ht="63.75" thickBot="1" x14ac:dyDescent="0.3">
      <c r="A94" s="55" t="s">
        <v>200</v>
      </c>
      <c r="B94" s="52" t="s">
        <v>197</v>
      </c>
      <c r="C94" s="53">
        <v>46749411</v>
      </c>
      <c r="D94" s="52" t="s">
        <v>198</v>
      </c>
      <c r="E94" s="57">
        <v>3596108</v>
      </c>
      <c r="F94" s="52" t="s">
        <v>63</v>
      </c>
      <c r="G94" s="49">
        <v>490000</v>
      </c>
      <c r="H94" s="2"/>
    </row>
    <row r="95" spans="1:8" ht="63.75" thickBot="1" x14ac:dyDescent="0.3">
      <c r="A95" s="55" t="s">
        <v>201</v>
      </c>
      <c r="B95" s="52" t="s">
        <v>197</v>
      </c>
      <c r="C95" s="53">
        <v>46749411</v>
      </c>
      <c r="D95" s="52" t="s">
        <v>198</v>
      </c>
      <c r="E95" s="53">
        <v>8208204</v>
      </c>
      <c r="F95" s="52" t="s">
        <v>10</v>
      </c>
      <c r="G95" s="49">
        <v>490000</v>
      </c>
      <c r="H95" s="2"/>
    </row>
    <row r="96" spans="1:8" ht="63.75" thickBot="1" x14ac:dyDescent="0.3">
      <c r="A96" s="55" t="s">
        <v>202</v>
      </c>
      <c r="B96" s="52" t="s">
        <v>197</v>
      </c>
      <c r="C96" s="53">
        <v>46749411</v>
      </c>
      <c r="D96" s="52" t="s">
        <v>198</v>
      </c>
      <c r="E96" s="53">
        <v>5563434</v>
      </c>
      <c r="F96" s="52" t="s">
        <v>12</v>
      </c>
      <c r="G96" s="49">
        <v>337000</v>
      </c>
      <c r="H96" s="2"/>
    </row>
    <row r="97" spans="1:8" ht="63.75" thickBot="1" x14ac:dyDescent="0.3">
      <c r="A97" s="55" t="s">
        <v>203</v>
      </c>
      <c r="B97" s="52" t="s">
        <v>204</v>
      </c>
      <c r="C97" s="53">
        <v>7234571</v>
      </c>
      <c r="D97" s="52" t="s">
        <v>205</v>
      </c>
      <c r="E97" s="53">
        <v>9220832</v>
      </c>
      <c r="F97" s="52" t="s">
        <v>59</v>
      </c>
      <c r="G97" s="49">
        <v>490000</v>
      </c>
      <c r="H97" s="2"/>
    </row>
    <row r="98" spans="1:8" ht="42.75" thickBot="1" x14ac:dyDescent="0.3">
      <c r="A98" s="55" t="s">
        <v>206</v>
      </c>
      <c r="B98" s="52" t="s">
        <v>207</v>
      </c>
      <c r="C98" s="53">
        <v>44224711</v>
      </c>
      <c r="D98" s="52" t="s">
        <v>208</v>
      </c>
      <c r="E98" s="53">
        <v>5293571</v>
      </c>
      <c r="F98" s="52" t="s">
        <v>86</v>
      </c>
      <c r="G98" s="49">
        <v>220000</v>
      </c>
      <c r="H98" s="2"/>
    </row>
    <row r="99" spans="1:8" ht="53.25" thickBot="1" x14ac:dyDescent="0.3">
      <c r="A99" s="55" t="s">
        <v>209</v>
      </c>
      <c r="B99" s="52" t="s">
        <v>210</v>
      </c>
      <c r="C99" s="53">
        <v>27004295</v>
      </c>
      <c r="D99" s="58" t="s">
        <v>211</v>
      </c>
      <c r="E99" s="53">
        <v>2930990</v>
      </c>
      <c r="F99" s="52" t="s">
        <v>110</v>
      </c>
      <c r="G99" s="49">
        <v>290000</v>
      </c>
      <c r="H99" s="2"/>
    </row>
    <row r="100" spans="1:8" ht="42.75" thickBot="1" x14ac:dyDescent="0.3">
      <c r="A100" s="61" t="s">
        <v>212</v>
      </c>
      <c r="B100" s="62" t="s">
        <v>210</v>
      </c>
      <c r="C100" s="63">
        <v>27004295</v>
      </c>
      <c r="D100" s="64" t="s">
        <v>211</v>
      </c>
      <c r="E100" s="63">
        <v>8466886</v>
      </c>
      <c r="F100" s="62" t="s">
        <v>70</v>
      </c>
      <c r="G100" s="65">
        <v>116000</v>
      </c>
      <c r="H100" s="2"/>
    </row>
    <row r="101" spans="1:8" ht="63.75" thickBot="1" x14ac:dyDescent="0.3">
      <c r="A101" s="55" t="s">
        <v>213</v>
      </c>
      <c r="B101" s="52" t="s">
        <v>210</v>
      </c>
      <c r="C101" s="53">
        <v>27004295</v>
      </c>
      <c r="D101" s="58" t="s">
        <v>211</v>
      </c>
      <c r="E101" s="53">
        <v>3912232</v>
      </c>
      <c r="F101" s="52" t="s">
        <v>79</v>
      </c>
      <c r="G101" s="49">
        <v>57000</v>
      </c>
      <c r="H101" s="2"/>
    </row>
    <row r="102" spans="1:8" ht="42.75" thickBot="1" x14ac:dyDescent="0.3">
      <c r="A102" s="55" t="s">
        <v>214</v>
      </c>
      <c r="B102" s="52" t="s">
        <v>215</v>
      </c>
      <c r="C102" s="53">
        <v>49295101</v>
      </c>
      <c r="D102" s="52" t="s">
        <v>216</v>
      </c>
      <c r="E102" s="53">
        <v>4661168</v>
      </c>
      <c r="F102" s="52" t="s">
        <v>12</v>
      </c>
      <c r="G102" s="49">
        <v>253000</v>
      </c>
      <c r="H102" s="2"/>
    </row>
    <row r="103" spans="1:8" ht="32.25" thickBot="1" x14ac:dyDescent="0.3">
      <c r="A103" s="61" t="s">
        <v>217</v>
      </c>
      <c r="B103" s="62" t="s">
        <v>215</v>
      </c>
      <c r="C103" s="63">
        <v>49295102</v>
      </c>
      <c r="D103" s="62" t="s">
        <v>216</v>
      </c>
      <c r="E103" s="63">
        <v>9909982</v>
      </c>
      <c r="F103" s="62" t="s">
        <v>10</v>
      </c>
      <c r="G103" s="65">
        <v>168000</v>
      </c>
      <c r="H103" s="2"/>
    </row>
    <row r="104" spans="1:8" ht="32.25" thickBot="1" x14ac:dyDescent="0.3">
      <c r="A104" s="55" t="s">
        <v>218</v>
      </c>
      <c r="B104" s="52" t="s">
        <v>215</v>
      </c>
      <c r="C104" s="53">
        <v>49295101</v>
      </c>
      <c r="D104" s="52" t="s">
        <v>216</v>
      </c>
      <c r="E104" s="53">
        <v>9314906</v>
      </c>
      <c r="F104" s="52" t="s">
        <v>219</v>
      </c>
      <c r="G104" s="49">
        <v>194000</v>
      </c>
      <c r="H104" s="2"/>
    </row>
    <row r="105" spans="1:8" ht="42.75" thickBot="1" x14ac:dyDescent="0.3">
      <c r="A105" s="55" t="s">
        <v>220</v>
      </c>
      <c r="B105" s="52" t="s">
        <v>215</v>
      </c>
      <c r="C105" s="53">
        <v>49295101</v>
      </c>
      <c r="D105" s="52" t="s">
        <v>216</v>
      </c>
      <c r="E105" s="53">
        <v>7471836</v>
      </c>
      <c r="F105" s="52" t="s">
        <v>63</v>
      </c>
      <c r="G105" s="49">
        <v>421000</v>
      </c>
      <c r="H105" s="2"/>
    </row>
    <row r="106" spans="1:8" ht="47.25" customHeight="1" x14ac:dyDescent="0.25">
      <c r="A106" s="372" t="s">
        <v>221</v>
      </c>
      <c r="B106" s="374" t="s">
        <v>222</v>
      </c>
      <c r="C106" s="372">
        <v>7934335</v>
      </c>
      <c r="D106" s="374" t="s">
        <v>223</v>
      </c>
      <c r="E106" s="372">
        <v>8935632</v>
      </c>
      <c r="F106" s="374" t="s">
        <v>110</v>
      </c>
      <c r="G106" s="376">
        <v>174000</v>
      </c>
      <c r="H106" s="371"/>
    </row>
    <row r="107" spans="1:8" ht="15.75" thickBot="1" x14ac:dyDescent="0.3">
      <c r="A107" s="373"/>
      <c r="B107" s="375"/>
      <c r="C107" s="373"/>
      <c r="D107" s="375"/>
      <c r="E107" s="373"/>
      <c r="F107" s="375"/>
      <c r="G107" s="377"/>
      <c r="H107" s="371"/>
    </row>
    <row r="108" spans="1:8" ht="53.25" thickBot="1" x14ac:dyDescent="0.3">
      <c r="A108" s="55" t="s">
        <v>224</v>
      </c>
      <c r="B108" s="52" t="s">
        <v>225</v>
      </c>
      <c r="C108" s="53">
        <v>26672472</v>
      </c>
      <c r="D108" s="52" t="s">
        <v>226</v>
      </c>
      <c r="E108" s="53">
        <v>8533092</v>
      </c>
      <c r="F108" s="52" t="s">
        <v>65</v>
      </c>
      <c r="G108" s="49">
        <v>451000</v>
      </c>
      <c r="H108" s="2"/>
    </row>
    <row r="109" spans="1:8" ht="32.25" thickBot="1" x14ac:dyDescent="0.3">
      <c r="A109" s="55" t="s">
        <v>227</v>
      </c>
      <c r="B109" s="52" t="s">
        <v>228</v>
      </c>
      <c r="C109" s="53">
        <v>675547</v>
      </c>
      <c r="D109" s="52" t="s">
        <v>229</v>
      </c>
      <c r="E109" s="53">
        <v>4358523</v>
      </c>
      <c r="F109" s="52" t="s">
        <v>40</v>
      </c>
      <c r="G109" s="49">
        <v>55000</v>
      </c>
      <c r="H109" s="2"/>
    </row>
    <row r="110" spans="1:8" ht="84.75" thickBot="1" x14ac:dyDescent="0.3">
      <c r="A110" s="55" t="s">
        <v>230</v>
      </c>
      <c r="B110" s="52" t="s">
        <v>228</v>
      </c>
      <c r="C110" s="53">
        <v>675547</v>
      </c>
      <c r="D110" s="52" t="s">
        <v>229</v>
      </c>
      <c r="E110" s="53">
        <v>4756138</v>
      </c>
      <c r="F110" s="52" t="s">
        <v>103</v>
      </c>
      <c r="G110" s="49">
        <v>91000</v>
      </c>
      <c r="H110" s="2"/>
    </row>
    <row r="111" spans="1:8" ht="15.75" thickBot="1" x14ac:dyDescent="0.3">
      <c r="A111" s="55" t="s">
        <v>231</v>
      </c>
      <c r="B111" s="59"/>
      <c r="C111" s="59"/>
      <c r="D111" s="59"/>
      <c r="E111" s="11">
        <v>6552817</v>
      </c>
      <c r="F111" s="59"/>
      <c r="G111" s="60">
        <v>30000000</v>
      </c>
      <c r="H111" s="2"/>
    </row>
    <row r="112" spans="1:8" x14ac:dyDescent="0.25">
      <c r="E112" s="11">
        <v>4142726</v>
      </c>
    </row>
    <row r="113" spans="5:5" x14ac:dyDescent="0.25">
      <c r="E113" s="11">
        <v>4853448</v>
      </c>
    </row>
    <row r="114" spans="5:5" x14ac:dyDescent="0.25">
      <c r="E114" s="11">
        <v>9450189</v>
      </c>
    </row>
    <row r="115" spans="5:5" x14ac:dyDescent="0.25">
      <c r="E115" s="11">
        <v>4530859</v>
      </c>
    </row>
    <row r="116" spans="5:5" x14ac:dyDescent="0.25">
      <c r="E116" s="11">
        <v>5293571</v>
      </c>
    </row>
    <row r="117" spans="5:5" x14ac:dyDescent="0.25">
      <c r="E117" s="18">
        <v>9220832</v>
      </c>
    </row>
    <row r="118" spans="5:5" x14ac:dyDescent="0.25">
      <c r="E118" s="11">
        <v>8384795</v>
      </c>
    </row>
    <row r="119" spans="5:5" x14ac:dyDescent="0.25">
      <c r="E119" s="11">
        <v>3190180</v>
      </c>
    </row>
    <row r="120" spans="5:5" x14ac:dyDescent="0.25">
      <c r="E120" s="11">
        <v>4094333</v>
      </c>
    </row>
    <row r="121" spans="5:5" x14ac:dyDescent="0.25">
      <c r="E121" s="11">
        <v>9015328</v>
      </c>
    </row>
    <row r="122" spans="5:5" x14ac:dyDescent="0.25">
      <c r="E122" s="11">
        <v>7885329</v>
      </c>
    </row>
    <row r="123" spans="5:5" x14ac:dyDescent="0.25">
      <c r="E123" s="11">
        <v>2632467</v>
      </c>
    </row>
    <row r="124" spans="5:5" x14ac:dyDescent="0.25">
      <c r="E124" s="11">
        <v>4337287</v>
      </c>
    </row>
    <row r="125" spans="5:5" x14ac:dyDescent="0.25">
      <c r="E125" s="11">
        <v>5833201</v>
      </c>
    </row>
    <row r="126" spans="5:5" x14ac:dyDescent="0.25">
      <c r="E126" s="11">
        <v>5393471</v>
      </c>
    </row>
    <row r="127" spans="5:5" x14ac:dyDescent="0.25">
      <c r="E127" s="11">
        <v>1701584</v>
      </c>
    </row>
    <row r="128" spans="5:5" x14ac:dyDescent="0.25">
      <c r="E128" s="11">
        <v>1273599</v>
      </c>
    </row>
    <row r="129" spans="5:5" x14ac:dyDescent="0.25">
      <c r="E129" s="11">
        <v>3959325</v>
      </c>
    </row>
    <row r="130" spans="5:5" x14ac:dyDescent="0.25">
      <c r="E130" s="11">
        <v>4823957</v>
      </c>
    </row>
    <row r="131" spans="5:5" x14ac:dyDescent="0.25">
      <c r="E131" s="11">
        <v>5002625</v>
      </c>
    </row>
    <row r="132" spans="5:5" x14ac:dyDescent="0.25">
      <c r="E132" s="11">
        <v>3364695</v>
      </c>
    </row>
    <row r="133" spans="5:5" x14ac:dyDescent="0.25">
      <c r="E133" s="11">
        <v>1840164</v>
      </c>
    </row>
    <row r="134" spans="5:5" x14ac:dyDescent="0.25">
      <c r="E134" s="11">
        <v>4148036</v>
      </c>
    </row>
    <row r="135" spans="5:5" x14ac:dyDescent="0.25">
      <c r="E135" s="11">
        <v>5451090</v>
      </c>
    </row>
    <row r="136" spans="5:5" x14ac:dyDescent="0.25">
      <c r="E136" s="11">
        <v>9725207</v>
      </c>
    </row>
    <row r="137" spans="5:5" x14ac:dyDescent="0.25">
      <c r="E137" s="11">
        <v>7135154</v>
      </c>
    </row>
    <row r="138" spans="5:5" x14ac:dyDescent="0.25">
      <c r="E138" s="11">
        <v>7559709</v>
      </c>
    </row>
    <row r="139" spans="5:5" x14ac:dyDescent="0.25">
      <c r="E139" s="11">
        <v>9349276</v>
      </c>
    </row>
    <row r="140" spans="5:5" x14ac:dyDescent="0.25">
      <c r="E140" s="11">
        <v>3852372</v>
      </c>
    </row>
    <row r="141" spans="5:5" x14ac:dyDescent="0.25">
      <c r="E141" s="11">
        <v>1656576</v>
      </c>
    </row>
    <row r="142" spans="5:5" x14ac:dyDescent="0.25">
      <c r="E142" s="11">
        <v>2164863</v>
      </c>
    </row>
    <row r="143" spans="5:5" x14ac:dyDescent="0.25">
      <c r="E143" s="11">
        <v>5362299</v>
      </c>
    </row>
    <row r="144" spans="5:5" x14ac:dyDescent="0.25">
      <c r="E144" s="11">
        <v>6806376</v>
      </c>
    </row>
    <row r="145" spans="5:5" x14ac:dyDescent="0.25">
      <c r="E145" s="11">
        <v>2453453</v>
      </c>
    </row>
    <row r="146" spans="5:5" x14ac:dyDescent="0.25">
      <c r="E146" s="11">
        <v>8396068</v>
      </c>
    </row>
    <row r="147" spans="5:5" x14ac:dyDescent="0.25">
      <c r="E147" s="11">
        <v>1947710</v>
      </c>
    </row>
    <row r="148" spans="5:5" x14ac:dyDescent="0.25">
      <c r="E148" s="11">
        <v>6722018</v>
      </c>
    </row>
    <row r="149" spans="5:5" x14ac:dyDescent="0.25">
      <c r="E149" s="11">
        <v>7665554</v>
      </c>
    </row>
    <row r="150" spans="5:5" x14ac:dyDescent="0.25">
      <c r="E150" s="11">
        <v>2480451</v>
      </c>
    </row>
    <row r="151" spans="5:5" x14ac:dyDescent="0.25">
      <c r="E151" s="11">
        <v>6769479</v>
      </c>
    </row>
    <row r="152" spans="5:5" x14ac:dyDescent="0.25">
      <c r="E152" s="11">
        <v>4358523</v>
      </c>
    </row>
    <row r="153" spans="5:5" x14ac:dyDescent="0.25">
      <c r="E153" s="11">
        <v>4756138</v>
      </c>
    </row>
    <row r="154" spans="5:5" x14ac:dyDescent="0.25">
      <c r="E154" s="11">
        <v>6719009</v>
      </c>
    </row>
    <row r="155" spans="5:5" x14ac:dyDescent="0.25">
      <c r="E155" s="11">
        <v>5235056</v>
      </c>
    </row>
    <row r="156" spans="5:5" x14ac:dyDescent="0.25">
      <c r="E156" s="11">
        <v>5713240</v>
      </c>
    </row>
    <row r="157" spans="5:5" x14ac:dyDescent="0.25">
      <c r="E157" s="11">
        <v>9813481</v>
      </c>
    </row>
    <row r="158" spans="5:5" x14ac:dyDescent="0.25">
      <c r="E158" s="11">
        <v>2293541</v>
      </c>
    </row>
    <row r="159" spans="5:5" x14ac:dyDescent="0.25">
      <c r="E159" s="11">
        <v>2038560</v>
      </c>
    </row>
    <row r="160" spans="5:5" x14ac:dyDescent="0.25">
      <c r="E160" s="11">
        <v>6907978</v>
      </c>
    </row>
    <row r="161" spans="5:5" x14ac:dyDescent="0.25">
      <c r="E161" s="11">
        <v>3790182</v>
      </c>
    </row>
    <row r="162" spans="5:5" x14ac:dyDescent="0.25">
      <c r="E162" s="11">
        <v>5312119</v>
      </c>
    </row>
    <row r="163" spans="5:5" x14ac:dyDescent="0.25">
      <c r="E163" s="11">
        <v>4297455</v>
      </c>
    </row>
    <row r="164" spans="5:5" x14ac:dyDescent="0.25">
      <c r="E164" s="11">
        <v>5793673</v>
      </c>
    </row>
    <row r="165" spans="5:5" x14ac:dyDescent="0.25">
      <c r="E165" s="11">
        <v>3166608</v>
      </c>
    </row>
    <row r="166" spans="5:5" x14ac:dyDescent="0.25">
      <c r="E166" s="11">
        <v>7044506</v>
      </c>
    </row>
    <row r="167" spans="5:5" x14ac:dyDescent="0.25">
      <c r="E167" s="11">
        <v>2718583</v>
      </c>
    </row>
    <row r="168" spans="5:5" x14ac:dyDescent="0.25">
      <c r="E168" s="11">
        <v>5231429</v>
      </c>
    </row>
    <row r="169" spans="5:5" x14ac:dyDescent="0.25">
      <c r="E169" s="11">
        <v>3148048</v>
      </c>
    </row>
    <row r="170" spans="5:5" x14ac:dyDescent="0.25">
      <c r="E170" s="11">
        <v>5741111</v>
      </c>
    </row>
    <row r="171" spans="5:5" x14ac:dyDescent="0.25">
      <c r="E171" s="11">
        <v>3428319</v>
      </c>
    </row>
    <row r="172" spans="5:5" x14ac:dyDescent="0.25">
      <c r="E172" s="11">
        <v>8492814</v>
      </c>
    </row>
    <row r="173" spans="5:5" x14ac:dyDescent="0.25">
      <c r="E173" s="11">
        <v>7080749</v>
      </c>
    </row>
    <row r="174" spans="5:5" x14ac:dyDescent="0.25">
      <c r="E174" s="11">
        <v>1372957</v>
      </c>
    </row>
    <row r="175" spans="5:5" x14ac:dyDescent="0.25">
      <c r="E175" s="11">
        <v>3632154</v>
      </c>
    </row>
    <row r="176" spans="5:5" x14ac:dyDescent="0.25">
      <c r="E176" s="11">
        <v>4418892</v>
      </c>
    </row>
    <row r="177" spans="5:5" x14ac:dyDescent="0.25">
      <c r="E177" s="11">
        <v>4890597</v>
      </c>
    </row>
    <row r="178" spans="5:5" x14ac:dyDescent="0.25">
      <c r="E178" s="11">
        <v>9653966</v>
      </c>
    </row>
    <row r="179" spans="5:5" x14ac:dyDescent="0.25">
      <c r="E179" s="11">
        <v>1347706</v>
      </c>
    </row>
    <row r="180" spans="5:5" x14ac:dyDescent="0.25">
      <c r="E180" s="11">
        <v>3555154</v>
      </c>
    </row>
    <row r="181" spans="5:5" x14ac:dyDescent="0.25">
      <c r="E181" s="11">
        <v>3001174</v>
      </c>
    </row>
    <row r="182" spans="5:5" x14ac:dyDescent="0.25">
      <c r="E182" s="11">
        <v>8588423</v>
      </c>
    </row>
    <row r="183" spans="5:5" x14ac:dyDescent="0.25">
      <c r="E183" s="11">
        <v>3139161</v>
      </c>
    </row>
    <row r="184" spans="5:5" x14ac:dyDescent="0.25">
      <c r="E184" s="11">
        <v>9139875</v>
      </c>
    </row>
    <row r="185" spans="5:5" x14ac:dyDescent="0.25">
      <c r="E185" s="11">
        <v>4654168</v>
      </c>
    </row>
    <row r="186" spans="5:5" x14ac:dyDescent="0.25">
      <c r="E186" s="11">
        <v>9450071</v>
      </c>
    </row>
    <row r="187" spans="5:5" x14ac:dyDescent="0.25">
      <c r="E187" s="11">
        <v>9266427</v>
      </c>
    </row>
    <row r="188" spans="5:5" x14ac:dyDescent="0.25">
      <c r="E188" s="11">
        <v>2522751</v>
      </c>
    </row>
    <row r="189" spans="5:5" x14ac:dyDescent="0.25">
      <c r="E189" s="11">
        <v>8760544</v>
      </c>
    </row>
    <row r="190" spans="5:5" x14ac:dyDescent="0.25">
      <c r="E190" s="11">
        <v>9835515</v>
      </c>
    </row>
    <row r="191" spans="5:5" x14ac:dyDescent="0.25">
      <c r="E191" s="11">
        <v>2138835</v>
      </c>
    </row>
    <row r="192" spans="5:5" x14ac:dyDescent="0.25">
      <c r="E192" s="11">
        <v>4630845</v>
      </c>
    </row>
    <row r="193" spans="5:5" x14ac:dyDescent="0.25">
      <c r="E193" s="11">
        <v>3823721</v>
      </c>
    </row>
    <row r="194" spans="5:5" x14ac:dyDescent="0.25">
      <c r="E194" s="11">
        <v>9621480</v>
      </c>
    </row>
    <row r="195" spans="5:5" x14ac:dyDescent="0.25">
      <c r="E195" s="11">
        <v>3152221</v>
      </c>
    </row>
    <row r="196" spans="5:5" x14ac:dyDescent="0.25">
      <c r="E196" s="11">
        <v>1467756</v>
      </c>
    </row>
    <row r="197" spans="5:5" x14ac:dyDescent="0.25">
      <c r="E197" s="11">
        <v>3438523</v>
      </c>
    </row>
    <row r="198" spans="5:5" x14ac:dyDescent="0.25">
      <c r="E198" s="11">
        <v>3988103</v>
      </c>
    </row>
    <row r="199" spans="5:5" x14ac:dyDescent="0.25">
      <c r="E199" s="11">
        <v>7826049</v>
      </c>
    </row>
    <row r="200" spans="5:5" x14ac:dyDescent="0.25">
      <c r="E200" s="11">
        <v>3055579</v>
      </c>
    </row>
    <row r="201" spans="5:5" x14ac:dyDescent="0.25">
      <c r="E201" s="11">
        <v>1526260</v>
      </c>
    </row>
    <row r="202" spans="5:5" x14ac:dyDescent="0.25">
      <c r="E202" s="11">
        <v>5172647</v>
      </c>
    </row>
    <row r="203" spans="5:5" x14ac:dyDescent="0.25">
      <c r="E203" s="11">
        <v>7326055</v>
      </c>
    </row>
    <row r="204" spans="5:5" x14ac:dyDescent="0.25">
      <c r="E204" s="11">
        <v>9397048</v>
      </c>
    </row>
    <row r="205" spans="5:5" x14ac:dyDescent="0.25">
      <c r="E205" s="11">
        <v>7890129</v>
      </c>
    </row>
    <row r="206" spans="5:5" x14ac:dyDescent="0.25">
      <c r="E206" s="11">
        <v>1297986</v>
      </c>
    </row>
    <row r="207" spans="5:5" x14ac:dyDescent="0.25">
      <c r="E207" s="11">
        <v>6790491</v>
      </c>
    </row>
    <row r="208" spans="5:5" x14ac:dyDescent="0.25">
      <c r="E208" s="11">
        <v>2925974</v>
      </c>
    </row>
    <row r="209" spans="5:5" x14ac:dyDescent="0.25">
      <c r="E209" s="11">
        <v>3596108</v>
      </c>
    </row>
    <row r="210" spans="5:5" x14ac:dyDescent="0.25">
      <c r="E210" s="11">
        <v>1226991</v>
      </c>
    </row>
    <row r="211" spans="5:5" x14ac:dyDescent="0.25">
      <c r="E211" s="11">
        <v>3865693</v>
      </c>
    </row>
    <row r="212" spans="5:5" x14ac:dyDescent="0.25">
      <c r="E212" s="11">
        <v>5563434</v>
      </c>
    </row>
    <row r="213" spans="5:5" x14ac:dyDescent="0.25">
      <c r="E213" s="11">
        <v>8208204</v>
      </c>
    </row>
    <row r="214" spans="5:5" x14ac:dyDescent="0.25">
      <c r="E214" s="11">
        <v>6265472</v>
      </c>
    </row>
    <row r="215" spans="5:5" x14ac:dyDescent="0.25">
      <c r="E215" s="11">
        <v>8899363</v>
      </c>
    </row>
    <row r="216" spans="5:5" x14ac:dyDescent="0.25">
      <c r="E216" s="11">
        <v>7471836</v>
      </c>
    </row>
    <row r="217" spans="5:5" x14ac:dyDescent="0.25">
      <c r="E217" s="11">
        <v>9314906</v>
      </c>
    </row>
    <row r="218" spans="5:5" x14ac:dyDescent="0.25">
      <c r="E218" s="11">
        <v>4661168</v>
      </c>
    </row>
    <row r="219" spans="5:5" x14ac:dyDescent="0.25">
      <c r="E219" s="11">
        <v>9543067</v>
      </c>
    </row>
    <row r="220" spans="5:5" x14ac:dyDescent="0.25">
      <c r="E220" s="14">
        <v>3069495</v>
      </c>
    </row>
    <row r="221" spans="5:5" x14ac:dyDescent="0.25">
      <c r="E221" s="11">
        <v>4343228</v>
      </c>
    </row>
    <row r="222" spans="5:5" x14ac:dyDescent="0.25">
      <c r="E222" s="11">
        <v>6492623</v>
      </c>
    </row>
    <row r="223" spans="5:5" x14ac:dyDescent="0.25">
      <c r="E223" s="11">
        <v>1660265</v>
      </c>
    </row>
    <row r="224" spans="5:5" x14ac:dyDescent="0.25">
      <c r="E224" s="11">
        <v>9076392</v>
      </c>
    </row>
    <row r="225" spans="5:5" x14ac:dyDescent="0.25">
      <c r="E225" s="11">
        <v>8900016</v>
      </c>
    </row>
    <row r="226" spans="5:5" x14ac:dyDescent="0.25">
      <c r="E226" s="11">
        <v>1457407</v>
      </c>
    </row>
    <row r="227" spans="5:5" x14ac:dyDescent="0.25">
      <c r="E227" s="11">
        <v>7555345</v>
      </c>
    </row>
    <row r="228" spans="5:5" x14ac:dyDescent="0.25">
      <c r="E228" s="11">
        <v>2073130</v>
      </c>
    </row>
    <row r="229" spans="5:5" x14ac:dyDescent="0.25">
      <c r="E229" s="11">
        <v>5957695</v>
      </c>
    </row>
    <row r="230" spans="5:5" x14ac:dyDescent="0.25">
      <c r="E230" s="12">
        <v>8752756</v>
      </c>
    </row>
    <row r="231" spans="5:5" x14ac:dyDescent="0.25">
      <c r="E231" s="12">
        <v>7356784</v>
      </c>
    </row>
    <row r="232" spans="5:5" x14ac:dyDescent="0.25">
      <c r="E232" s="11">
        <v>3661910</v>
      </c>
    </row>
    <row r="233" spans="5:5" x14ac:dyDescent="0.25">
      <c r="E233" s="12">
        <v>8935632</v>
      </c>
    </row>
    <row r="234" spans="5:5" x14ac:dyDescent="0.25">
      <c r="E234" s="11">
        <v>7734736</v>
      </c>
    </row>
    <row r="235" spans="5:5" x14ac:dyDescent="0.25">
      <c r="E235" s="11">
        <v>5285192</v>
      </c>
    </row>
    <row r="236" spans="5:5" x14ac:dyDescent="0.25">
      <c r="E236" s="11">
        <v>5861633</v>
      </c>
    </row>
    <row r="237" spans="5:5" x14ac:dyDescent="0.25">
      <c r="E237" s="11">
        <v>4873800</v>
      </c>
    </row>
    <row r="238" spans="5:5" x14ac:dyDescent="0.25">
      <c r="E238" s="11">
        <v>2700736</v>
      </c>
    </row>
    <row r="239" spans="5:5" x14ac:dyDescent="0.25">
      <c r="E239" s="11">
        <v>8598927</v>
      </c>
    </row>
    <row r="240" spans="5:5" x14ac:dyDescent="0.25">
      <c r="E240" s="11">
        <v>2088349</v>
      </c>
    </row>
    <row r="241" spans="5:5" x14ac:dyDescent="0.25">
      <c r="E241" s="11">
        <v>3886672</v>
      </c>
    </row>
    <row r="242" spans="5:5" x14ac:dyDescent="0.25">
      <c r="E242" s="11">
        <v>7777619</v>
      </c>
    </row>
    <row r="243" spans="5:5" x14ac:dyDescent="0.25">
      <c r="E243" s="11">
        <v>2838544</v>
      </c>
    </row>
    <row r="244" spans="5:5" x14ac:dyDescent="0.25">
      <c r="E244" s="11">
        <v>2084701</v>
      </c>
    </row>
    <row r="245" spans="5:5" x14ac:dyDescent="0.25">
      <c r="E245" s="11">
        <v>1129034</v>
      </c>
    </row>
    <row r="246" spans="5:5" x14ac:dyDescent="0.25">
      <c r="E246" s="11">
        <v>8227630</v>
      </c>
    </row>
    <row r="247" spans="5:5" x14ac:dyDescent="0.25">
      <c r="E247" s="11">
        <v>2587147</v>
      </c>
    </row>
    <row r="248" spans="5:5" x14ac:dyDescent="0.25">
      <c r="E248" s="11">
        <v>2552651</v>
      </c>
    </row>
    <row r="249" spans="5:5" x14ac:dyDescent="0.25">
      <c r="E249" s="11">
        <v>2574699</v>
      </c>
    </row>
    <row r="250" spans="5:5" x14ac:dyDescent="0.25">
      <c r="E250" s="11">
        <v>7207666</v>
      </c>
    </row>
    <row r="251" spans="5:5" x14ac:dyDescent="0.25">
      <c r="E251" s="11">
        <v>2928724</v>
      </c>
    </row>
    <row r="252" spans="5:5" x14ac:dyDescent="0.25">
      <c r="E252" s="11">
        <v>1220799</v>
      </c>
    </row>
    <row r="253" spans="5:5" x14ac:dyDescent="0.25">
      <c r="E253" s="11">
        <v>1229581</v>
      </c>
    </row>
    <row r="254" spans="5:5" x14ac:dyDescent="0.25">
      <c r="E254" s="11">
        <v>3801846</v>
      </c>
    </row>
    <row r="255" spans="5:5" x14ac:dyDescent="0.25">
      <c r="E255" s="11">
        <v>3775974</v>
      </c>
    </row>
    <row r="256" spans="5:5" x14ac:dyDescent="0.25">
      <c r="E256" s="11">
        <v>8306216</v>
      </c>
    </row>
    <row r="257" spans="5:5" x14ac:dyDescent="0.25">
      <c r="E257" s="11">
        <v>5918012</v>
      </c>
    </row>
    <row r="258" spans="5:5" x14ac:dyDescent="0.25">
      <c r="E258" s="11">
        <v>1020591</v>
      </c>
    </row>
    <row r="259" spans="5:5" x14ac:dyDescent="0.25">
      <c r="E259" s="11">
        <v>2481915</v>
      </c>
    </row>
    <row r="260" spans="5:5" x14ac:dyDescent="0.25">
      <c r="E260" s="11">
        <v>3822869</v>
      </c>
    </row>
    <row r="261" spans="5:5" x14ac:dyDescent="0.25">
      <c r="E261" s="11">
        <v>1303151</v>
      </c>
    </row>
    <row r="262" spans="5:5" x14ac:dyDescent="0.25">
      <c r="E262" s="11">
        <v>1775589</v>
      </c>
    </row>
    <row r="263" spans="5:5" x14ac:dyDescent="0.25">
      <c r="E263" s="11">
        <v>1420566</v>
      </c>
    </row>
    <row r="264" spans="5:5" x14ac:dyDescent="0.25">
      <c r="E264" s="11">
        <v>9860755</v>
      </c>
    </row>
    <row r="265" spans="5:5" x14ac:dyDescent="0.25">
      <c r="E265" s="11">
        <v>2284277</v>
      </c>
    </row>
    <row r="266" spans="5:5" x14ac:dyDescent="0.25">
      <c r="E266" s="11">
        <v>9864940</v>
      </c>
    </row>
    <row r="267" spans="5:5" x14ac:dyDescent="0.25">
      <c r="E267" s="11">
        <v>1201824</v>
      </c>
    </row>
    <row r="268" spans="5:5" x14ac:dyDescent="0.25">
      <c r="E268" s="11">
        <v>7472903</v>
      </c>
    </row>
    <row r="269" spans="5:5" x14ac:dyDescent="0.25">
      <c r="E269" s="11">
        <v>4319542</v>
      </c>
    </row>
    <row r="270" spans="5:5" x14ac:dyDescent="0.25">
      <c r="E270" s="11">
        <v>6224406</v>
      </c>
    </row>
    <row r="271" spans="5:5" x14ac:dyDescent="0.25">
      <c r="E271" s="11">
        <v>7228496</v>
      </c>
    </row>
    <row r="272" spans="5:5" x14ac:dyDescent="0.25">
      <c r="E272" s="11">
        <v>3702507</v>
      </c>
    </row>
    <row r="273" spans="5:5" x14ac:dyDescent="0.25">
      <c r="E273" s="11">
        <v>3682159</v>
      </c>
    </row>
    <row r="274" spans="5:5" x14ac:dyDescent="0.25">
      <c r="E274" s="11">
        <v>4501907</v>
      </c>
    </row>
    <row r="275" spans="5:5" x14ac:dyDescent="0.25">
      <c r="E275" s="11">
        <v>8791447</v>
      </c>
    </row>
    <row r="276" spans="5:5" x14ac:dyDescent="0.25">
      <c r="E276" s="11">
        <v>6374958</v>
      </c>
    </row>
    <row r="277" spans="5:5" x14ac:dyDescent="0.25">
      <c r="E277" s="11">
        <v>3910140</v>
      </c>
    </row>
    <row r="278" spans="5:5" x14ac:dyDescent="0.25">
      <c r="E278" s="11">
        <v>8054292</v>
      </c>
    </row>
    <row r="279" spans="5:5" x14ac:dyDescent="0.25">
      <c r="E279" s="11">
        <v>5063729</v>
      </c>
    </row>
    <row r="280" spans="5:5" x14ac:dyDescent="0.25">
      <c r="E280" s="11">
        <v>7177985</v>
      </c>
    </row>
    <row r="281" spans="5:5" x14ac:dyDescent="0.25">
      <c r="E281" s="11">
        <v>1853485</v>
      </c>
    </row>
    <row r="282" spans="5:5" x14ac:dyDescent="0.25">
      <c r="E282" s="11">
        <v>3415850</v>
      </c>
    </row>
    <row r="283" spans="5:5" x14ac:dyDescent="0.25">
      <c r="E283" s="11">
        <v>3005927</v>
      </c>
    </row>
    <row r="284" spans="5:5" x14ac:dyDescent="0.25">
      <c r="E284" s="11">
        <v>3977219</v>
      </c>
    </row>
    <row r="285" spans="5:5" x14ac:dyDescent="0.25">
      <c r="E285" s="11">
        <v>7923702</v>
      </c>
    </row>
    <row r="286" spans="5:5" x14ac:dyDescent="0.25">
      <c r="E286" s="11">
        <v>2584331</v>
      </c>
    </row>
    <row r="287" spans="5:5" x14ac:dyDescent="0.25">
      <c r="E287" s="11">
        <v>6940940</v>
      </c>
    </row>
    <row r="288" spans="5:5" x14ac:dyDescent="0.25">
      <c r="E288" s="11">
        <v>3146268</v>
      </c>
    </row>
    <row r="289" spans="5:5" x14ac:dyDescent="0.25">
      <c r="E289" s="11">
        <v>9958898</v>
      </c>
    </row>
    <row r="290" spans="5:5" x14ac:dyDescent="0.25">
      <c r="E290" s="11">
        <v>5070480</v>
      </c>
    </row>
    <row r="291" spans="5:5" x14ac:dyDescent="0.25">
      <c r="E291" s="11">
        <v>1807508</v>
      </c>
    </row>
    <row r="292" spans="5:5" x14ac:dyDescent="0.25">
      <c r="E292" s="11">
        <v>8696715</v>
      </c>
    </row>
    <row r="293" spans="5:5" x14ac:dyDescent="0.25">
      <c r="E293" s="11">
        <v>8501960</v>
      </c>
    </row>
    <row r="294" spans="5:5" x14ac:dyDescent="0.25">
      <c r="E294" s="11">
        <v>7759833</v>
      </c>
    </row>
    <row r="295" spans="5:5" x14ac:dyDescent="0.25">
      <c r="E295" s="11">
        <v>6967411</v>
      </c>
    </row>
    <row r="296" spans="5:5" x14ac:dyDescent="0.25">
      <c r="E296" s="11">
        <v>2572767</v>
      </c>
    </row>
    <row r="297" spans="5:5" x14ac:dyDescent="0.25">
      <c r="E297" s="11">
        <v>6191395</v>
      </c>
    </row>
    <row r="298" spans="5:5" x14ac:dyDescent="0.25">
      <c r="E298" s="11">
        <v>5475959</v>
      </c>
    </row>
    <row r="299" spans="5:5" x14ac:dyDescent="0.25">
      <c r="E299" s="16">
        <v>7663161</v>
      </c>
    </row>
    <row r="300" spans="5:5" x14ac:dyDescent="0.25">
      <c r="E300" s="11">
        <v>2049573</v>
      </c>
    </row>
    <row r="301" spans="5:5" x14ac:dyDescent="0.25">
      <c r="E301" s="11">
        <v>2930990</v>
      </c>
    </row>
    <row r="302" spans="5:5" x14ac:dyDescent="0.25">
      <c r="E302" s="11">
        <v>3912232</v>
      </c>
    </row>
    <row r="303" spans="5:5" x14ac:dyDescent="0.25">
      <c r="E303" s="11">
        <v>8419868</v>
      </c>
    </row>
    <row r="304" spans="5:5" x14ac:dyDescent="0.25">
      <c r="E304" s="11">
        <v>5391602</v>
      </c>
    </row>
    <row r="305" spans="5:5" x14ac:dyDescent="0.25">
      <c r="E305" s="11">
        <v>1464519</v>
      </c>
    </row>
    <row r="306" spans="5:5" x14ac:dyDescent="0.25">
      <c r="E306" s="11">
        <v>1161877</v>
      </c>
    </row>
    <row r="307" spans="5:5" x14ac:dyDescent="0.25">
      <c r="E307" s="11">
        <v>4441304</v>
      </c>
    </row>
    <row r="308" spans="5:5" x14ac:dyDescent="0.25">
      <c r="E308" s="11">
        <v>9603734</v>
      </c>
    </row>
    <row r="309" spans="5:5" x14ac:dyDescent="0.25">
      <c r="E309" s="11">
        <v>2527518</v>
      </c>
    </row>
    <row r="310" spans="5:5" x14ac:dyDescent="0.25">
      <c r="E310" s="11">
        <v>6877163</v>
      </c>
    </row>
    <row r="311" spans="5:5" x14ac:dyDescent="0.25">
      <c r="E311" s="11">
        <v>7455227</v>
      </c>
    </row>
    <row r="312" spans="5:5" x14ac:dyDescent="0.25">
      <c r="E312" s="11">
        <v>9072226</v>
      </c>
    </row>
    <row r="313" spans="5:5" x14ac:dyDescent="0.25">
      <c r="E313" s="11">
        <v>8533092</v>
      </c>
    </row>
    <row r="314" spans="5:5" x14ac:dyDescent="0.25">
      <c r="E314" s="18">
        <v>9964505</v>
      </c>
    </row>
    <row r="315" spans="5:5" x14ac:dyDescent="0.25">
      <c r="E315" s="11">
        <v>5792926</v>
      </c>
    </row>
    <row r="316" spans="5:5" x14ac:dyDescent="0.25">
      <c r="E316" s="11">
        <v>9321887</v>
      </c>
    </row>
    <row r="317" spans="5:5" x14ac:dyDescent="0.25">
      <c r="E317" s="11">
        <v>5091362</v>
      </c>
    </row>
    <row r="318" spans="5:5" x14ac:dyDescent="0.25">
      <c r="E318" s="11">
        <v>3145588</v>
      </c>
    </row>
    <row r="319" spans="5:5" x14ac:dyDescent="0.25">
      <c r="E319" s="11">
        <v>6266118</v>
      </c>
    </row>
    <row r="320" spans="5:5" x14ac:dyDescent="0.25">
      <c r="E320" s="11">
        <v>7007714</v>
      </c>
    </row>
    <row r="321" spans="5:5" x14ac:dyDescent="0.25">
      <c r="E321" s="11">
        <v>3802797</v>
      </c>
    </row>
    <row r="322" spans="5:5" x14ac:dyDescent="0.25">
      <c r="E322" s="11">
        <v>1410170</v>
      </c>
    </row>
    <row r="323" spans="5:5" x14ac:dyDescent="0.25">
      <c r="E323" s="11">
        <v>8788790</v>
      </c>
    </row>
    <row r="324" spans="5:5" x14ac:dyDescent="0.25">
      <c r="E324" s="11">
        <v>6732891</v>
      </c>
    </row>
    <row r="325" spans="5:5" x14ac:dyDescent="0.25">
      <c r="E325" s="11">
        <v>8170444</v>
      </c>
    </row>
    <row r="326" spans="5:5" x14ac:dyDescent="0.25">
      <c r="E326" s="11">
        <v>4493554</v>
      </c>
    </row>
    <row r="327" spans="5:5" x14ac:dyDescent="0.25">
      <c r="E327" s="11">
        <v>2854766</v>
      </c>
    </row>
    <row r="328" spans="5:5" x14ac:dyDescent="0.25">
      <c r="E328" s="11">
        <v>8609487</v>
      </c>
    </row>
    <row r="329" spans="5:5" x14ac:dyDescent="0.25">
      <c r="E329" s="11">
        <v>6836867</v>
      </c>
    </row>
    <row r="330" spans="5:5" x14ac:dyDescent="0.25">
      <c r="E330" s="11">
        <v>3625295</v>
      </c>
    </row>
    <row r="331" spans="5:5" x14ac:dyDescent="0.25">
      <c r="E331" s="11">
        <v>7901485</v>
      </c>
    </row>
    <row r="332" spans="5:5" x14ac:dyDescent="0.25">
      <c r="E332" s="11">
        <v>1280179</v>
      </c>
    </row>
    <row r="333" spans="5:5" x14ac:dyDescent="0.25">
      <c r="E333" s="11">
        <v>3949768</v>
      </c>
    </row>
    <row r="334" spans="5:5" x14ac:dyDescent="0.25">
      <c r="E334" s="11">
        <v>2446668</v>
      </c>
    </row>
    <row r="335" spans="5:5" x14ac:dyDescent="0.25">
      <c r="E335" s="11">
        <v>3732526</v>
      </c>
    </row>
    <row r="336" spans="5:5" x14ac:dyDescent="0.25">
      <c r="E336" s="11">
        <v>2308616</v>
      </c>
    </row>
    <row r="337" spans="5:5" x14ac:dyDescent="0.25">
      <c r="E337" s="11">
        <v>7143232</v>
      </c>
    </row>
    <row r="338" spans="5:5" x14ac:dyDescent="0.25">
      <c r="E338" s="11">
        <v>7253089</v>
      </c>
    </row>
    <row r="339" spans="5:5" x14ac:dyDescent="0.25">
      <c r="E339" s="11">
        <v>5968921</v>
      </c>
    </row>
    <row r="340" spans="5:5" x14ac:dyDescent="0.25">
      <c r="E340" s="11">
        <v>4353078</v>
      </c>
    </row>
    <row r="341" spans="5:5" x14ac:dyDescent="0.25">
      <c r="E341" s="11">
        <v>5227172</v>
      </c>
    </row>
    <row r="342" spans="5:5" x14ac:dyDescent="0.25">
      <c r="E342" s="11">
        <v>6650186</v>
      </c>
    </row>
    <row r="343" spans="5:5" x14ac:dyDescent="0.25">
      <c r="E343" s="11">
        <v>4385424</v>
      </c>
    </row>
    <row r="344" spans="5:5" x14ac:dyDescent="0.25">
      <c r="E344" s="11">
        <v>5293407</v>
      </c>
    </row>
    <row r="345" spans="5:5" x14ac:dyDescent="0.25">
      <c r="E345" s="11">
        <v>2954592</v>
      </c>
    </row>
    <row r="346" spans="5:5" x14ac:dyDescent="0.25">
      <c r="E346" s="11">
        <v>8340162</v>
      </c>
    </row>
    <row r="347" spans="5:5" x14ac:dyDescent="0.25">
      <c r="E347" s="11">
        <v>3843439</v>
      </c>
    </row>
    <row r="348" spans="5:5" x14ac:dyDescent="0.25">
      <c r="E348" s="11">
        <v>5773192</v>
      </c>
    </row>
    <row r="349" spans="5:5" x14ac:dyDescent="0.25">
      <c r="E349" s="11">
        <v>8719331</v>
      </c>
    </row>
    <row r="350" spans="5:5" x14ac:dyDescent="0.25">
      <c r="E350" s="11">
        <v>3368051</v>
      </c>
    </row>
    <row r="351" spans="5:5" x14ac:dyDescent="0.25">
      <c r="E351" s="11">
        <v>9313088</v>
      </c>
    </row>
    <row r="352" spans="5:5" x14ac:dyDescent="0.25">
      <c r="E352" s="11">
        <v>4234054</v>
      </c>
    </row>
    <row r="353" spans="5:5" x14ac:dyDescent="0.25">
      <c r="E353" s="11">
        <v>9274680</v>
      </c>
    </row>
    <row r="354" spans="5:5" x14ac:dyDescent="0.25">
      <c r="E354" s="11">
        <v>2684509</v>
      </c>
    </row>
    <row r="355" spans="5:5" ht="15.75" thickBot="1" x14ac:dyDescent="0.3">
      <c r="E355" s="37">
        <v>4892203</v>
      </c>
    </row>
  </sheetData>
  <mergeCells count="22">
    <mergeCell ref="G1:G2"/>
    <mergeCell ref="A5:A6"/>
    <mergeCell ref="C5:C6"/>
    <mergeCell ref="D5:D6"/>
    <mergeCell ref="E5:E6"/>
    <mergeCell ref="F5:F6"/>
    <mergeCell ref="G5:G6"/>
    <mergeCell ref="A1:A2"/>
    <mergeCell ref="B1:B2"/>
    <mergeCell ref="C1:C2"/>
    <mergeCell ref="D1:D2"/>
    <mergeCell ref="E1:E2"/>
    <mergeCell ref="F1:F2"/>
    <mergeCell ref="H5:H6"/>
    <mergeCell ref="A106:A107"/>
    <mergeCell ref="B106:B107"/>
    <mergeCell ref="C106:C107"/>
    <mergeCell ref="D106:D107"/>
    <mergeCell ref="E106:E107"/>
    <mergeCell ref="F106:F107"/>
    <mergeCell ref="G106:G107"/>
    <mergeCell ref="H106:H107"/>
  </mergeCells>
  <conditionalFormatting sqref="E1:E1048576">
    <cfRule type="duplicateValues" dxfId="3" priority="1"/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0240-64EF-40AD-9261-FEA440143E7F}">
  <dimension ref="A1:X43"/>
  <sheetViews>
    <sheetView topLeftCell="E1" workbookViewId="0">
      <selection activeCell="W34" activeCellId="6" sqref="M34 P34 Q34 R34 T34 V34 W34"/>
    </sheetView>
  </sheetViews>
  <sheetFormatPr defaultColWidth="9.140625" defaultRowHeight="9" x14ac:dyDescent="0.15"/>
  <cols>
    <col min="1" max="1" width="20.5703125" style="92" customWidth="1"/>
    <col min="2" max="2" width="13.140625" style="92" customWidth="1"/>
    <col min="3" max="9" width="9.140625" style="92"/>
    <col min="10" max="10" width="11.140625" style="92" customWidth="1"/>
    <col min="11" max="11" width="10.140625" style="92" bestFit="1" customWidth="1"/>
    <col min="12" max="13" width="12.7109375" style="92" customWidth="1"/>
    <col min="14" max="14" width="9.140625" style="92"/>
    <col min="15" max="15" width="11.28515625" style="92" customWidth="1"/>
    <col min="16" max="18" width="9.140625" style="92"/>
    <col min="19" max="19" width="11.140625" style="92" customWidth="1"/>
    <col min="20" max="23" width="9.140625" style="92"/>
    <col min="24" max="24" width="12.140625" style="92" customWidth="1"/>
    <col min="25" max="16384" width="9.140625" style="92"/>
  </cols>
  <sheetData>
    <row r="1" spans="1:23" s="93" customFormat="1" ht="50.25" customHeight="1" x14ac:dyDescent="0.25">
      <c r="A1" s="93" t="s">
        <v>481</v>
      </c>
      <c r="B1" s="93" t="s">
        <v>770</v>
      </c>
      <c r="C1" s="93" t="s">
        <v>771</v>
      </c>
      <c r="D1" s="93" t="s">
        <v>772</v>
      </c>
      <c r="E1" s="93" t="s">
        <v>773</v>
      </c>
      <c r="F1" s="93" t="s">
        <v>774</v>
      </c>
      <c r="G1" s="93" t="s">
        <v>775</v>
      </c>
      <c r="H1" s="93" t="s">
        <v>776</v>
      </c>
      <c r="J1" s="93" t="s">
        <v>777</v>
      </c>
      <c r="K1" s="93" t="s">
        <v>478</v>
      </c>
      <c r="L1" s="93" t="s">
        <v>778</v>
      </c>
      <c r="M1" s="93" t="s">
        <v>779</v>
      </c>
      <c r="N1" s="93" t="s">
        <v>312</v>
      </c>
      <c r="O1" s="93" t="s">
        <v>780</v>
      </c>
      <c r="P1" s="93" t="s">
        <v>781</v>
      </c>
      <c r="Q1" s="93" t="s">
        <v>782</v>
      </c>
      <c r="R1" s="93" t="s">
        <v>783</v>
      </c>
      <c r="S1" s="93" t="s">
        <v>784</v>
      </c>
      <c r="T1" s="93" t="s">
        <v>785</v>
      </c>
      <c r="U1" s="93" t="s">
        <v>786</v>
      </c>
      <c r="V1" s="93" t="s">
        <v>782</v>
      </c>
      <c r="W1" s="93" t="s">
        <v>787</v>
      </c>
    </row>
    <row r="2" spans="1:23" x14ac:dyDescent="0.15">
      <c r="A2" s="92" t="s">
        <v>268</v>
      </c>
      <c r="B2" s="95">
        <f ca="1">SUMIF('Data - Průběžky 2021'!$E$3:$J$238,'Průběžky 2021 - celkové částky'!A2,'Data - Průběžky 2021'!$J$3:$J$238)</f>
        <v>28873925</v>
      </c>
      <c r="D2" s="92">
        <v>41.408999999999999</v>
      </c>
      <c r="E2" s="95"/>
      <c r="F2" s="95">
        <f ca="1">B2/D2</f>
        <v>697286.21797193843</v>
      </c>
      <c r="G2" s="95"/>
      <c r="H2" s="95">
        <f ca="1">F2/12</f>
        <v>58107.184830994869</v>
      </c>
      <c r="J2" s="95">
        <f ca="1">SUMIF('Data - Průběžky 2021'!$E$3:$AG$238,'Průběžky 2021 - celkové částky'!A2,'Data - Průběžky 2021'!$L$3:$L$237)</f>
        <v>21928706</v>
      </c>
      <c r="K2" s="95">
        <v>3553185</v>
      </c>
      <c r="L2" s="95">
        <f ca="1">SUMIF('Data - Průběžky 2021'!$E$3:$N$238,'Průběžky 2021 - celkové částky'!A2,'Data - Průběžky 2021'!$N$3:$N$238)</f>
        <v>1334000</v>
      </c>
      <c r="M2" s="95">
        <f ca="1">SUMIF('Data - Průběžky 2021'!$E$3:$R$238,'Průběžky 2021 - celkové částky'!A2,'Data - Průběžky 2021'!$O$3:$O$238)+SUMIF('Data - Průběžky 2021'!$E$3:$R$238,'Průběžky 2021 - celkové částky'!A2,'Data - Průběžky 2021'!$P$3:$P$238)+SUMIF('Data - Průběžky 2021'!$E$3:$R$238,'Průběžky 2021 - celkové částky'!A2,'Data - Průběžky 2021'!$Q$3:$Q$238)+SUMIF('Data - Průběžky 2021'!$E$3:$R$238,'Průběžky 2021 - celkové částky'!A2,'Data - Průběžky 2021'!$R$3:$R$238)</f>
        <v>0</v>
      </c>
      <c r="N2" s="95">
        <f ca="1">SUMIF('Data - Průběžky 2021'!$E$3:$AG$238,'Průběžky 2021 - celkové částky'!A2,'Data - Průběžky 2021'!$S$3:$S$237)</f>
        <v>1393239</v>
      </c>
      <c r="O2" s="95">
        <f ca="1">SUMIF('Data - Průběžky 2021'!$E$3:$AG$238,'Průběžky 2021 - celkové částky'!A2,'Data - Průběžky 2021'!$T$3:$T$237)</f>
        <v>0</v>
      </c>
      <c r="P2" s="95">
        <f ca="1">SUMIF('Data - Průběžky 2021'!$E$3:$AG$238,'Průběžky 2021 - celkové částky'!A2,'Data - Průběžky 2021'!$U$3:$U$237)</f>
        <v>0</v>
      </c>
      <c r="Q2" s="95">
        <f ca="1">SUMIF('Data - Průběžky 2021'!$E$3:$AG$238,'Průběžky 2021 - celkové částky'!A2,'Data - Průběžky 2021'!$V$3:$V$237)</f>
        <v>0</v>
      </c>
      <c r="R2" s="95">
        <f ca="1">SUMIF('Data - Průběžky 2021'!$E$3:$AG$238,'Průběžky 2021 - celkové částky'!A2,'Data - Průběžky 2021'!$W$3:$W$237)+SUMIF('Data - Průběžky 2021'!$E$3:$AG$238,'Průběžky 2021 - celkové částky'!A2,'Data - Průběžky 2021'!$X$3:$X$237)</f>
        <v>401800</v>
      </c>
      <c r="S2" s="95">
        <f ca="1">SUMIF('Data - Průběžky 2021'!$E$3:$AG$238,'Průběžky 2021 - celkové částky'!A2,'Data - Průběžky 2021'!$Z$3:$Z$237)</f>
        <v>0</v>
      </c>
      <c r="T2" s="95">
        <f ca="1">SUMIF('Data - Průběžky 2021'!$E$3:$AG$238,'Průběžky 2021 - celkové částky'!A2,'Data - Průběžky 2021'!$AB$3:$AB$237)</f>
        <v>0</v>
      </c>
      <c r="U2" s="95">
        <f ca="1">SUMIF('Data - Průběžky 2021'!$E$3:$AG$238,'Průběžky 2021 - celkové částky'!A2,'Data - Průběžky 2021'!$AC$3:$AC$237)</f>
        <v>0</v>
      </c>
      <c r="V2" s="92">
        <f ca="1">SUMIF('Data - Průběžky 2021'!$E$3:$AG$238,'Průběžky 2021 - celkové částky'!A2,'Data - Průběžky 2021'!$AA$3:$AA$237)</f>
        <v>0</v>
      </c>
      <c r="W2" s="92">
        <f ca="1">SUMIF('Data - Průběžky 2021'!$E$3:$AG$238,'Průběžky 2021 - celkové částky'!A2,'Data - Průběžky 2021'!$AD$3:$AD$237)+SUMIF('Data - Průběžky 2021'!$E$3:$AG$238,'Průběžky 2021 - celkové částky'!A2,'Data - Průběžky 2021'!$AE$3:$AE$237)+SUMIF('Data - Průběžky 2021'!$E$3:$AG$238,'Průběžky 2021 - celkové částky'!A2,'Data - Průběžky 2021'!$AF$3:$AF$237)+SUMIF('Data - Průběžky 2021'!$E$3:$AG$238,'Průběžky 2021 - celkové částky'!A2,'Data - Průběžky 2021'!$AG$3:$AG$237)</f>
        <v>262995</v>
      </c>
    </row>
    <row r="3" spans="1:23" x14ac:dyDescent="0.15">
      <c r="A3" s="92" t="s">
        <v>321</v>
      </c>
      <c r="B3" s="95">
        <f ca="1">SUMIF('Data - Průběžky 2021'!$E$3:$J$238,'Průběžky 2021 - celkové částky'!A3,'Data - Průběžky 2021'!$J$3:$J$238)</f>
        <v>57572044.409999996</v>
      </c>
      <c r="D3" s="92">
        <v>127.2</v>
      </c>
      <c r="E3" s="95"/>
      <c r="F3" s="95">
        <f t="shared" ref="F3:F33" ca="1" si="0">B3/D3</f>
        <v>452610.41202830186</v>
      </c>
      <c r="G3" s="95"/>
      <c r="H3" s="95">
        <f t="shared" ref="H3:H33" ca="1" si="1">F3/12</f>
        <v>37717.534335691824</v>
      </c>
      <c r="J3" s="95">
        <f ca="1">SUMIF('Data - Průběžky 2021'!$E$3:$AG$238,'Průběžky 2021 - celkové částky'!A3,'Data - Průběžky 2021'!$L$3:$L$237)</f>
        <v>43287842</v>
      </c>
      <c r="K3" s="95">
        <v>3269620</v>
      </c>
      <c r="L3" s="95">
        <f ca="1">SUMIF('Data - Průběžky 2021'!$E$3:$N$238,'Průběžky 2021 - celkové částky'!A3,'Data - Průběžky 2021'!$N$3:$N$238)</f>
        <v>1497000</v>
      </c>
      <c r="M3" s="95">
        <f ca="1">SUMIF('Data - Průběžky 2021'!$E$3:$R$238,'Průběžky 2021 - celkové částky'!A3,'Data - Průběžky 2021'!$O$3:$O$238)+SUMIF('Data - Průběžky 2021'!$E$3:$R$238,'Průběžky 2021 - celkové částky'!A3,'Data - Průběžky 2021'!$P$3:$P$238)+SUMIF('Data - Průběžky 2021'!$E$3:$R$238,'Průběžky 2021 - celkové částky'!A3,'Data - Průběžky 2021'!$Q$3:$Q$238)+SUMIF('Data - Průběžky 2021'!$E$3:$R$238,'Průběžky 2021 - celkové částky'!A3,'Data - Průběžky 2021'!$R$3:$R$238)</f>
        <v>0</v>
      </c>
      <c r="N3" s="95">
        <f ca="1">SUMIF('Data - Průběžky 2021'!$E$3:$AG$238,'Průběžky 2021 - celkové částky'!A3,'Data - Průběžky 2021'!$S$3:$S$237)</f>
        <v>3527390</v>
      </c>
      <c r="O3" s="95">
        <f ca="1">SUMIF('Data - Průběžky 2021'!$E$3:$AG$238,'Průběžky 2021 - celkové částky'!A3,'Data - Průběžky 2021'!$T$3:$T$237)</f>
        <v>0</v>
      </c>
      <c r="P3" s="95">
        <f ca="1">SUMIF('Data - Průběžky 2021'!$E$3:$AG$238,'Průběžky 2021 - celkové částky'!A3,'Data - Průběžky 2021'!$U$3:$U$237)</f>
        <v>0</v>
      </c>
      <c r="Q3" s="95">
        <f ca="1">SUMIF('Data - Průběžky 2021'!$E$3:$AG$238,'Průběžky 2021 - celkové částky'!A3,'Data - Průběžky 2021'!$V$3:$V$237)</f>
        <v>20008</v>
      </c>
      <c r="R3" s="95">
        <f ca="1">SUMIF('Data - Průběžky 2021'!$E$3:$AG$238,'Průběžky 2021 - celkové částky'!A3,'Data - Průběžky 2021'!$W$3:$W$237)+SUMIF('Data - Průběžky 2021'!$E$3:$AG$238,'Průběžky 2021 - celkové částky'!A3,'Data - Průběžky 2021'!$X$3:$X$237)</f>
        <v>0</v>
      </c>
      <c r="S3" s="95">
        <f ca="1">SUMIF('Data - Průběžky 2021'!$E$3:$AG$238,'Průběžky 2021 - celkové částky'!A3,'Data - Průběžky 2021'!$Z$3:$Z$237)</f>
        <v>5665282</v>
      </c>
      <c r="T3" s="95">
        <f ca="1">SUMIF('Data - Průběžky 2021'!$E$3:$AG$238,'Průběžky 2021 - celkové částky'!A3,'Data - Průběžky 2021'!$AB$3:$AB$237)</f>
        <v>0</v>
      </c>
      <c r="U3" s="95">
        <f ca="1">SUMIF('Data - Průběžky 2021'!$E$3:$AG$238,'Průběžky 2021 - celkové částky'!A3,'Data - Průběžky 2021'!$AC$3:$AC$237)</f>
        <v>0</v>
      </c>
      <c r="V3" s="92">
        <f ca="1">SUMIF('Data - Průběžky 2021'!$E$3:$AG$238,'Průběžky 2021 - celkové částky'!A3,'Data - Průběžky 2021'!$AA$3:$AA$237)</f>
        <v>145231</v>
      </c>
      <c r="W3" s="92">
        <f ca="1">SUMIF('Data - Průběžky 2021'!$E$3:$AG$238,'Průběžky 2021 - celkové částky'!A3,'Data - Průběžky 2021'!$AD$3:$AD$237)+SUMIF('Data - Průběžky 2021'!$E$3:$AG$238,'Průběžky 2021 - celkové částky'!A3,'Data - Průběžky 2021'!$AE$3:$AE$237)+SUMIF('Data - Průběžky 2021'!$E$3:$AG$238,'Průběžky 2021 - celkové částky'!A3,'Data - Průběžky 2021'!$AF$3:$AF$237)+SUMIF('Data - Průběžky 2021'!$E$3:$AG$238,'Průběžky 2021 - celkové částky'!A3,'Data - Průběžky 2021'!$AG$3:$AG$237)</f>
        <v>159671.41</v>
      </c>
    </row>
    <row r="4" spans="1:23" x14ac:dyDescent="0.15">
      <c r="A4" s="92" t="s">
        <v>325</v>
      </c>
      <c r="B4" s="95">
        <f ca="1">SUMIF('Data - Průběžky 2021'!$E$3:$J$238,'Průběžky 2021 - celkové částky'!A4,'Data - Průběžky 2021'!$J$3:$J$238)</f>
        <v>175949472.79000002</v>
      </c>
      <c r="D4" s="92">
        <v>306.85000000000002</v>
      </c>
      <c r="E4" s="95"/>
      <c r="F4" s="95">
        <f t="shared" ca="1" si="0"/>
        <v>573405.48408016947</v>
      </c>
      <c r="G4" s="95"/>
      <c r="H4" s="95">
        <f t="shared" ca="1" si="1"/>
        <v>47783.790340014122</v>
      </c>
      <c r="J4" s="95">
        <f ca="1">SUMIF('Data - Průběžky 2021'!$E$3:$AG$238,'Průběžky 2021 - celkové částky'!A4,'Data - Průběžky 2021'!$L$3:$L$237)</f>
        <v>81381000</v>
      </c>
      <c r="K4" s="95">
        <v>0</v>
      </c>
      <c r="L4" s="95">
        <f ca="1">SUMIF('Data - Průběžky 2021'!$E$3:$N$238,'Průběžky 2021 - celkové částky'!A4,'Data - Průběžky 2021'!$N$3:$N$238)</f>
        <v>639000</v>
      </c>
      <c r="M4" s="95">
        <f ca="1">SUMIF('Data - Průběžky 2021'!$E$3:$R$238,'Průběžky 2021 - celkové částky'!A4,'Data - Průběžky 2021'!$O$3:$O$238)+SUMIF('Data - Průběžky 2021'!$E$3:$R$238,'Průběžky 2021 - celkové částky'!A4,'Data - Průběžky 2021'!$P$3:$P$238)+SUMIF('Data - Průběžky 2021'!$E$3:$R$238,'Průběžky 2021 - celkové částky'!A4,'Data - Průběžky 2021'!$Q$3:$Q$238)+SUMIF('Data - Průběžky 2021'!$E$3:$R$238,'Průběžky 2021 - celkové částky'!A4,'Data - Průběžky 2021'!$R$3:$R$238)</f>
        <v>0</v>
      </c>
      <c r="N4" s="95">
        <f ca="1">SUMIF('Data - Průběžky 2021'!$E$3:$AG$238,'Průběžky 2021 - celkové částky'!A4,'Data - Průběžky 2021'!$S$3:$S$237)</f>
        <v>2736088.9699999997</v>
      </c>
      <c r="O4" s="95">
        <f ca="1">SUMIF('Data - Průběžky 2021'!$E$3:$AG$238,'Průběžky 2021 - celkové částky'!A4,'Data - Průběžky 2021'!$T$3:$T$237)</f>
        <v>63611771</v>
      </c>
      <c r="P4" s="95">
        <f ca="1">SUMIF('Data - Průběžky 2021'!$E$3:$AG$238,'Průběžky 2021 - celkové částky'!A4,'Data - Průběžky 2021'!$U$3:$U$237)</f>
        <v>0</v>
      </c>
      <c r="Q4" s="95">
        <f ca="1">SUMIF('Data - Průběžky 2021'!$E$3:$AG$238,'Průběžky 2021 - celkové částky'!A4,'Data - Průběžky 2021'!$V$3:$V$237)</f>
        <v>0</v>
      </c>
      <c r="R4" s="95">
        <f ca="1">SUMIF('Data - Průběžky 2021'!$E$3:$AG$238,'Průběžky 2021 - celkové částky'!A4,'Data - Průběžky 2021'!$W$3:$W$237)+SUMIF('Data - Průběžky 2021'!$E$3:$AG$238,'Průběžky 2021 - celkové částky'!A4,'Data - Průběžky 2021'!$X$3:$X$237)</f>
        <v>85900</v>
      </c>
      <c r="S4" s="95">
        <f ca="1">SUMIF('Data - Průběžky 2021'!$E$3:$AG$238,'Průběžky 2021 - celkové částky'!A4,'Data - Průběžky 2021'!$Z$3:$Z$237)</f>
        <v>16622179.219999999</v>
      </c>
      <c r="T4" s="95">
        <f ca="1">SUMIF('Data - Průběžky 2021'!$E$3:$AG$238,'Průběžky 2021 - celkové částky'!A4,'Data - Průběžky 2021'!$AB$3:$AB$237)</f>
        <v>25612</v>
      </c>
      <c r="U4" s="95">
        <f ca="1">SUMIF('Data - Průběžky 2021'!$E$3:$AG$238,'Průběžky 2021 - celkové částky'!A4,'Data - Průběžky 2021'!$AC$3:$AC$237)</f>
        <v>9445076.8299999982</v>
      </c>
      <c r="V4" s="92">
        <f ca="1">SUMIF('Data - Průběžky 2021'!$E$3:$AG$238,'Průběžky 2021 - celkové částky'!A4,'Data - Průběžky 2021'!$AA$3:$AA$237)</f>
        <v>28044</v>
      </c>
      <c r="W4" s="92">
        <f ca="1">SUMIF('Data - Průběžky 2021'!$E$3:$AG$238,'Průběžky 2021 - celkové částky'!A4,'Data - Průběžky 2021'!$AD$3:$AD$237)+SUMIF('Data - Průběžky 2021'!$E$3:$AG$238,'Průběžky 2021 - celkové částky'!A4,'Data - Průběžky 2021'!$AE$3:$AE$237)+SUMIF('Data - Průběžky 2021'!$E$3:$AG$238,'Průběžky 2021 - celkové částky'!A4,'Data - Průběžky 2021'!$AF$3:$AF$237)+SUMIF('Data - Průběžky 2021'!$E$3:$AG$238,'Průběžky 2021 - celkové částky'!A4,'Data - Průběžky 2021'!$AG$3:$AG$237)</f>
        <v>1374800.77</v>
      </c>
    </row>
    <row r="5" spans="1:23" x14ac:dyDescent="0.15">
      <c r="A5" s="92" t="s">
        <v>293</v>
      </c>
      <c r="B5" s="95">
        <f ca="1">SUMIF('Data - Průběžky 2021'!$E$3:$J$238,'Průběžky 2021 - celkové částky'!A5,'Data - Průběžky 2021'!$J$3:$J$238)</f>
        <v>22156258</v>
      </c>
      <c r="D5" s="92">
        <v>5.4</v>
      </c>
      <c r="E5" s="95"/>
      <c r="F5" s="95">
        <f t="shared" ca="1" si="0"/>
        <v>4103010.7407407407</v>
      </c>
      <c r="G5" s="95"/>
      <c r="H5" s="95">
        <f t="shared" ca="1" si="1"/>
        <v>341917.56172839506</v>
      </c>
      <c r="J5" s="95">
        <f ca="1">SUMIF('Data - Průběžky 2021'!$E$3:$AG$238,'Průběžky 2021 - celkové částky'!A5,'Data - Průběžky 2021'!$L$3:$L$237)</f>
        <v>19666500</v>
      </c>
      <c r="K5" s="95">
        <v>0</v>
      </c>
      <c r="L5" s="95">
        <f ca="1">SUMIF('Data - Průběžky 2021'!$E$3:$N$238,'Průběžky 2021 - celkové částky'!A5,'Data - Průběžky 2021'!$N$3:$N$238)</f>
        <v>81000</v>
      </c>
      <c r="M5" s="95">
        <f ca="1">SUMIF('Data - Průběžky 2021'!$E$3:$R$238,'Průběžky 2021 - celkové částky'!A5,'Data - Průběžky 2021'!$O$3:$O$238)+SUMIF('Data - Průběžky 2021'!$E$3:$R$238,'Průběžky 2021 - celkové částky'!A5,'Data - Průběžky 2021'!$P$3:$P$238)+SUMIF('Data - Průběžky 2021'!$E$3:$R$238,'Průběžky 2021 - celkové částky'!A5,'Data - Průběžky 2021'!$Q$3:$Q$238)+SUMIF('Data - Průběžky 2021'!$E$3:$R$238,'Průběžky 2021 - celkové částky'!A5,'Data - Průběžky 2021'!$R$3:$R$238)</f>
        <v>5959</v>
      </c>
      <c r="N5" s="95">
        <f ca="1">SUMIF('Data - Průběžky 2021'!$E$3:$AG$238,'Průběžky 2021 - celkové částky'!A5,'Data - Průběžky 2021'!$S$3:$S$237)</f>
        <v>245000</v>
      </c>
      <c r="O5" s="95">
        <f ca="1">SUMIF('Data - Průběžky 2021'!$E$3:$AG$238,'Průběžky 2021 - celkové částky'!A5,'Data - Průběžky 2021'!$T$3:$T$237)</f>
        <v>0</v>
      </c>
      <c r="P5" s="95">
        <f ca="1">SUMIF('Data - Průběžky 2021'!$E$3:$AG$238,'Průběžky 2021 - celkové částky'!A5,'Data - Průběžky 2021'!$U$3:$U$237)</f>
        <v>0</v>
      </c>
      <c r="Q5" s="95">
        <f ca="1">SUMIF('Data - Průběžky 2021'!$E$3:$AG$238,'Průběžky 2021 - celkové částky'!A5,'Data - Průběžky 2021'!$V$3:$V$237)</f>
        <v>0</v>
      </c>
      <c r="R5" s="95">
        <f ca="1">SUMIF('Data - Průběžky 2021'!$E$3:$AG$238,'Průběžky 2021 - celkové částky'!A5,'Data - Průběžky 2021'!$W$3:$W$237)+SUMIF('Data - Průběžky 2021'!$E$3:$AG$238,'Průběžky 2021 - celkové částky'!A5,'Data - Průběžky 2021'!$X$3:$X$237)</f>
        <v>146173</v>
      </c>
      <c r="S5" s="95">
        <f ca="1">SUMIF('Data - Průběžky 2021'!$E$3:$AG$238,'Průběžky 2021 - celkové částky'!A5,'Data - Průběžky 2021'!$Z$3:$Z$237)</f>
        <v>580228</v>
      </c>
      <c r="T5" s="95">
        <f ca="1">SUMIF('Data - Průběžky 2021'!$E$3:$AG$238,'Průběžky 2021 - celkové částky'!A5,'Data - Průběžky 2021'!$AB$3:$AB$237)</f>
        <v>0</v>
      </c>
      <c r="U5" s="95">
        <f ca="1">SUMIF('Data - Průběžky 2021'!$E$3:$AG$238,'Průběžky 2021 - celkové částky'!A5,'Data - Průběžky 2021'!$AC$3:$AC$237)</f>
        <v>0</v>
      </c>
      <c r="V5" s="92">
        <f ca="1">SUMIF('Data - Průběžky 2021'!$E$3:$AG$238,'Průběžky 2021 - celkové částky'!A5,'Data - Průběžky 2021'!$AA$3:$AA$237)</f>
        <v>595531</v>
      </c>
      <c r="W5" s="92">
        <f ca="1">SUMIF('Data - Průběžky 2021'!$E$3:$AG$238,'Průběžky 2021 - celkové částky'!A5,'Data - Průběžky 2021'!$AD$3:$AD$237)+SUMIF('Data - Průběžky 2021'!$E$3:$AG$238,'Průběžky 2021 - celkové částky'!A5,'Data - Průběžky 2021'!$AE$3:$AE$237)+SUMIF('Data - Průběžky 2021'!$E$3:$AG$238,'Průběžky 2021 - celkové částky'!A5,'Data - Průběžky 2021'!$AF$3:$AF$237)+SUMIF('Data - Průběžky 2021'!$E$3:$AG$238,'Průběžky 2021 - celkové částky'!A5,'Data - Průběžky 2021'!$AG$3:$AG$237)</f>
        <v>835867</v>
      </c>
    </row>
    <row r="6" spans="1:23" x14ac:dyDescent="0.15">
      <c r="A6" s="92" t="s">
        <v>459</v>
      </c>
      <c r="B6" s="95">
        <f ca="1">SUMIF('Data - Průběžky 2021'!$E$3:$J$238,'Průběžky 2021 - celkové částky'!A6,'Data - Průběžky 2021'!$J$3:$J$238)</f>
        <v>255741</v>
      </c>
      <c r="D6" s="92">
        <v>0.75</v>
      </c>
      <c r="E6" s="95"/>
      <c r="F6" s="95">
        <f t="shared" ca="1" si="0"/>
        <v>340988</v>
      </c>
      <c r="G6" s="95"/>
      <c r="H6" s="95">
        <f t="shared" ca="1" si="1"/>
        <v>28415.666666666668</v>
      </c>
      <c r="J6" s="95">
        <f ca="1">SUMIF('Data - Průběžky 2021'!$E$3:$AG$238,'Průběžky 2021 - celkové částky'!A6,'Data - Průběžky 2021'!$L$3:$L$237)</f>
        <v>216000</v>
      </c>
      <c r="K6" s="95">
        <v>0</v>
      </c>
      <c r="L6" s="95">
        <f ca="1">SUMIF('Data - Průběžky 2021'!$E$3:$N$238,'Průběžky 2021 - celkové částky'!A6,'Data - Průběžky 2021'!$N$3:$N$238)</f>
        <v>0</v>
      </c>
      <c r="M6" s="95">
        <f ca="1">SUMIF('Data - Průběžky 2021'!$E$3:$R$238,'Průběžky 2021 - celkové částky'!A6,'Data - Průběžky 2021'!$O$3:$O$238)+SUMIF('Data - Průběžky 2021'!$E$3:$R$238,'Průběžky 2021 - celkové částky'!A6,'Data - Průběžky 2021'!$P$3:$P$238)+SUMIF('Data - Průběžky 2021'!$E$3:$R$238,'Průběžky 2021 - celkové částky'!A6,'Data - Průběžky 2021'!$Q$3:$Q$238)+SUMIF('Data - Průběžky 2021'!$E$3:$R$238,'Průběžky 2021 - celkové částky'!A6,'Data - Průběžky 2021'!$R$3:$R$238)</f>
        <v>0</v>
      </c>
      <c r="N6" s="95">
        <f ca="1">SUMIF('Data - Průběžky 2021'!$E$3:$AG$238,'Průběžky 2021 - celkové částky'!A6,'Data - Průběžky 2021'!$S$3:$S$237)</f>
        <v>0</v>
      </c>
      <c r="O6" s="95">
        <f ca="1">SUMIF('Data - Průběžky 2021'!$E$3:$AG$238,'Průběžky 2021 - celkové částky'!A6,'Data - Průběžky 2021'!$T$3:$T$237)</f>
        <v>0</v>
      </c>
      <c r="P6" s="95">
        <f ca="1">SUMIF('Data - Průběžky 2021'!$E$3:$AG$238,'Průběžky 2021 - celkové částky'!A6,'Data - Průběžky 2021'!$U$3:$U$237)</f>
        <v>0</v>
      </c>
      <c r="Q6" s="95">
        <f ca="1">SUMIF('Data - Průběžky 2021'!$E$3:$AG$238,'Průběžky 2021 - celkové částky'!A6,'Data - Průběžky 2021'!$V$3:$V$237)</f>
        <v>0</v>
      </c>
      <c r="R6" s="95">
        <f ca="1">SUMIF('Data - Průběžky 2021'!$E$3:$AG$238,'Průběžky 2021 - celkové částky'!A6,'Data - Průběžky 2021'!$W$3:$W$237)+SUMIF('Data - Průběžky 2021'!$E$3:$AG$238,'Průběžky 2021 - celkové částky'!A6,'Data - Průběžky 2021'!$X$3:$X$237)</f>
        <v>0</v>
      </c>
      <c r="S6" s="95">
        <f ca="1">SUMIF('Data - Průběžky 2021'!$E$3:$AG$238,'Průběžky 2021 - celkové částky'!A6,'Data - Průběžky 2021'!$Z$3:$Z$237)</f>
        <v>4500</v>
      </c>
      <c r="T6" s="95">
        <f ca="1">SUMIF('Data - Průběžky 2021'!$E$3:$AG$238,'Průběžky 2021 - celkové částky'!A6,'Data - Průběžky 2021'!$AB$3:$AB$237)</f>
        <v>0</v>
      </c>
      <c r="U6" s="95">
        <f ca="1">SUMIF('Data - Průběžky 2021'!$E$3:$AG$238,'Průběžky 2021 - celkové částky'!A6,'Data - Průběžky 2021'!$AC$3:$AC$237)</f>
        <v>0</v>
      </c>
      <c r="V6" s="92">
        <f ca="1">SUMIF('Data - Průběžky 2021'!$E$3:$AG$238,'Průběžky 2021 - celkové částky'!A6,'Data - Průběžky 2021'!$AA$3:$AA$237)</f>
        <v>35241</v>
      </c>
      <c r="W6" s="92">
        <f ca="1">SUMIF('Data - Průběžky 2021'!$E$3:$AG$238,'Průběžky 2021 - celkové částky'!A6,'Data - Průběžky 2021'!$AD$3:$AD$237)+SUMIF('Data - Průběžky 2021'!$E$3:$AG$238,'Průběžky 2021 - celkové částky'!A6,'Data - Průběžky 2021'!$AE$3:$AE$237)+SUMIF('Data - Průběžky 2021'!$E$3:$AG$238,'Průběžky 2021 - celkové částky'!A6,'Data - Průběžky 2021'!$AF$3:$AF$237)+SUMIF('Data - Průběžky 2021'!$E$3:$AG$238,'Průběžky 2021 - celkové částky'!A6,'Data - Průběžky 2021'!$AG$3:$AG$237)</f>
        <v>0</v>
      </c>
    </row>
    <row r="7" spans="1:23" x14ac:dyDescent="0.15">
      <c r="A7" s="92" t="s">
        <v>365</v>
      </c>
      <c r="B7" s="95">
        <f ca="1">SUMIF('Data - Průběžky 2021'!$E$3:$J$238,'Průběžky 2021 - celkové částky'!A7,'Data - Průběžky 2021'!$J$3:$J$238)</f>
        <v>12292290</v>
      </c>
      <c r="D7" s="92">
        <v>20.8</v>
      </c>
      <c r="E7" s="95"/>
      <c r="F7" s="95">
        <f t="shared" ca="1" si="0"/>
        <v>590975.48076923075</v>
      </c>
      <c r="G7" s="95"/>
      <c r="H7" s="95">
        <f ca="1">F7/12</f>
        <v>49247.956730769227</v>
      </c>
      <c r="J7" s="95">
        <f ca="1">SUMIF('Data - Průběžky 2021'!$E$3:$AG$238,'Průběžky 2021 - celkové částky'!A7,'Data - Průběžky 2021'!$L$3:$L$237)</f>
        <v>10366500</v>
      </c>
      <c r="K7" s="95">
        <v>0</v>
      </c>
      <c r="L7" s="95">
        <f ca="1">SUMIF('Data - Průběžky 2021'!$E$3:$N$238,'Průběžky 2021 - celkové částky'!A7,'Data - Průběžky 2021'!$N$3:$N$238)</f>
        <v>536000</v>
      </c>
      <c r="M7" s="95">
        <f ca="1">SUMIF('Data - Průběžky 2021'!$E$3:$R$238,'Průběžky 2021 - celkové částky'!A7,'Data - Průběžky 2021'!$O$3:$O$238)+SUMIF('Data - Průběžky 2021'!$E$3:$R$238,'Průběžky 2021 - celkové částky'!A7,'Data - Průběžky 2021'!$P$3:$P$238)+SUMIF('Data - Průběžky 2021'!$E$3:$R$238,'Průběžky 2021 - celkové částky'!A7,'Data - Průběžky 2021'!$Q$3:$Q$238)+SUMIF('Data - Průběžky 2021'!$E$3:$R$238,'Průběžky 2021 - celkové částky'!A7,'Data - Průběžky 2021'!$R$3:$R$238)</f>
        <v>0</v>
      </c>
      <c r="N7" s="95">
        <f ca="1">SUMIF('Data - Průběžky 2021'!$E$3:$AG$238,'Průběžky 2021 - celkové částky'!A7,'Data - Průběžky 2021'!$S$3:$S$237)</f>
        <v>916060</v>
      </c>
      <c r="O7" s="95">
        <f ca="1">SUMIF('Data - Průběžky 2021'!$E$3:$AG$238,'Průběžky 2021 - celkové částky'!A7,'Data - Průběžky 2021'!$T$3:$T$237)</f>
        <v>0</v>
      </c>
      <c r="P7" s="95">
        <f ca="1">SUMIF('Data - Průběžky 2021'!$E$3:$AG$238,'Průběžky 2021 - celkové částky'!A7,'Data - Průběžky 2021'!$U$3:$U$237)</f>
        <v>0</v>
      </c>
      <c r="Q7" s="95">
        <f ca="1">SUMIF('Data - Průběžky 2021'!$E$3:$AG$238,'Průběžky 2021 - celkové částky'!A7,'Data - Průběžky 2021'!$V$3:$V$237)</f>
        <v>266338</v>
      </c>
      <c r="R7" s="95">
        <f ca="1">SUMIF('Data - Průběžky 2021'!$E$3:$AG$238,'Průběžky 2021 - celkové částky'!A7,'Data - Průběžky 2021'!$W$3:$W$237)+SUMIF('Data - Průběžky 2021'!$E$3:$AG$238,'Průběžky 2021 - celkové částky'!A7,'Data - Průběžky 2021'!$X$3:$X$237)</f>
        <v>0</v>
      </c>
      <c r="S7" s="95">
        <f ca="1">SUMIF('Data - Průběžky 2021'!$E$3:$AG$238,'Průběžky 2021 - celkové částky'!A7,'Data - Průběžky 2021'!$Z$3:$Z$237)</f>
        <v>207392</v>
      </c>
      <c r="T7" s="95">
        <f ca="1">SUMIF('Data - Průběžky 2021'!$E$3:$AG$238,'Průběžky 2021 - celkové částky'!A7,'Data - Průběžky 2021'!$AB$3:$AB$237)</f>
        <v>0</v>
      </c>
      <c r="U7" s="95">
        <f ca="1">SUMIF('Data - Průběžky 2021'!$E$3:$AG$238,'Průběžky 2021 - celkové částky'!A7,'Data - Průběžky 2021'!$AC$3:$AC$237)</f>
        <v>0</v>
      </c>
      <c r="V7" s="92">
        <f ca="1">SUMIF('Data - Průběžky 2021'!$E$3:$AG$238,'Průběžky 2021 - celkové částky'!A7,'Data - Průběžky 2021'!$AA$3:$AA$237)</f>
        <v>0</v>
      </c>
      <c r="W7" s="92">
        <f ca="1">SUMIF('Data - Průběžky 2021'!$E$3:$AG$238,'Průběžky 2021 - celkové částky'!A7,'Data - Průběžky 2021'!$AD$3:$AD$237)+SUMIF('Data - Průběžky 2021'!$E$3:$AG$238,'Průběžky 2021 - celkové částky'!A7,'Data - Průběžky 2021'!$AE$3:$AE$237)+SUMIF('Data - Průběžky 2021'!$E$3:$AG$238,'Průběžky 2021 - celkové částky'!A7,'Data - Průběžky 2021'!$AF$3:$AF$237)+SUMIF('Data - Průběžky 2021'!$E$3:$AG$238,'Průběžky 2021 - celkové částky'!A7,'Data - Průběžky 2021'!$AG$3:$AG$237)</f>
        <v>0</v>
      </c>
    </row>
    <row r="8" spans="1:23" x14ac:dyDescent="0.15">
      <c r="A8" s="92" t="s">
        <v>283</v>
      </c>
      <c r="B8" s="95">
        <f ca="1">SUMIF('Data - Průběžky 2021'!$E$3:$J$238,'Průběžky 2021 - celkové částky'!A8,'Data - Průběžky 2021'!$J$3:$J$238)</f>
        <v>34561571.82</v>
      </c>
      <c r="C8" s="92">
        <v>58</v>
      </c>
      <c r="D8" s="92">
        <v>62.475000000000001</v>
      </c>
      <c r="E8" s="95">
        <f>23740495.82/C8</f>
        <v>409318.89344827586</v>
      </c>
      <c r="F8" s="95">
        <f>10821076/D8</f>
        <v>173206.49859943977</v>
      </c>
      <c r="G8" s="95">
        <f>E8/12</f>
        <v>34109.907787356322</v>
      </c>
      <c r="H8" s="95">
        <f>F8/12</f>
        <v>14433.874883286648</v>
      </c>
      <c r="J8" s="95">
        <f ca="1">SUMIF('Data - Průběžky 2021'!$E$3:$AG$238,'Průběžky 2021 - celkové částky'!A8,'Data - Průběžky 2021'!$L$3:$L$237)</f>
        <v>21069000</v>
      </c>
      <c r="K8" s="95">
        <v>1189525</v>
      </c>
      <c r="L8" s="95">
        <f ca="1">SUMIF('Data - Průběžky 2021'!$E$3:$N$238,'Průběžky 2021 - celkové částky'!A8,'Data - Průběžky 2021'!$N$3:$N$238)</f>
        <v>622000</v>
      </c>
      <c r="M8" s="95">
        <f ca="1">SUMIF('Data - Průběžky 2021'!$E$3:$R$238,'Průběžky 2021 - celkové částky'!A8,'Data - Průběžky 2021'!$O$3:$O$238)+SUMIF('Data - Průběžky 2021'!$E$3:$R$238,'Průběžky 2021 - celkové částky'!A8,'Data - Průběžky 2021'!$P$3:$P$238)+SUMIF('Data - Průběžky 2021'!$E$3:$R$238,'Průběžky 2021 - celkové částky'!A8,'Data - Průběžky 2021'!$Q$3:$Q$238)+SUMIF('Data - Průběžky 2021'!$E$3:$R$238,'Průběžky 2021 - celkové částky'!A8,'Data - Průběžky 2021'!$R$3:$R$238)</f>
        <v>0</v>
      </c>
      <c r="N8" s="95">
        <f ca="1">SUMIF('Data - Průběžky 2021'!$E$3:$AG$238,'Průběžky 2021 - celkové částky'!A8,'Data - Průběžky 2021'!$S$3:$S$237)</f>
        <v>985023</v>
      </c>
      <c r="O8" s="95">
        <f ca="1">SUMIF('Data - Průběžky 2021'!$E$3:$AG$238,'Průběžky 2021 - celkové částky'!A8,'Data - Průběžky 2021'!$T$3:$T$237)</f>
        <v>5808011</v>
      </c>
      <c r="P8" s="95">
        <f ca="1">SUMIF('Data - Průběžky 2021'!$E$3:$AG$238,'Průběžky 2021 - celkové částky'!A8,'Data - Průběžky 2021'!$U$3:$U$237)</f>
        <v>0</v>
      </c>
      <c r="Q8" s="95">
        <f ca="1">SUMIF('Data - Průběžky 2021'!$E$3:$AG$238,'Průběžky 2021 - celkové částky'!A8,'Data - Průběžky 2021'!$V$3:$V$237)</f>
        <v>0</v>
      </c>
      <c r="R8" s="95">
        <f ca="1">SUMIF('Data - Průběžky 2021'!$E$3:$AG$238,'Průběžky 2021 - celkové částky'!A8,'Data - Průběžky 2021'!$W$3:$W$237)+SUMIF('Data - Průběžky 2021'!$E$3:$AG$238,'Průběžky 2021 - celkové částky'!A8,'Data - Průběžky 2021'!$X$3:$X$237)</f>
        <v>0</v>
      </c>
      <c r="S8" s="95">
        <f ca="1">SUMIF('Data - Průběžky 2021'!$E$3:$AG$238,'Průběžky 2021 - celkové částky'!A8,'Data - Průběžky 2021'!$Z$3:$Z$237)</f>
        <v>4137367.87</v>
      </c>
      <c r="T8" s="95">
        <f ca="1">SUMIF('Data - Průběžky 2021'!$E$3:$AG$238,'Průběžky 2021 - celkové částky'!A8,'Data - Průběžky 2021'!$AB$3:$AB$237)</f>
        <v>41252.81</v>
      </c>
      <c r="U8" s="95">
        <f ca="1">SUMIF('Data - Průběžky 2021'!$E$3:$AG$238,'Průběžky 2021 - celkové částky'!A8,'Data - Průběžky 2021'!$AC$3:$AC$237)</f>
        <v>0</v>
      </c>
      <c r="V8" s="92">
        <f ca="1">SUMIF('Data - Průběžky 2021'!$E$3:$AG$238,'Průběžky 2021 - celkové částky'!A8,'Data - Průběžky 2021'!$AA$3:$AA$237)</f>
        <v>462750</v>
      </c>
      <c r="W8" s="92">
        <f ca="1">SUMIF('Data - Průběžky 2021'!$E$3:$AG$238,'Průběžky 2021 - celkové částky'!A8,'Data - Průběžky 2021'!$AD$3:$AD$237)+SUMIF('Data - Průběžky 2021'!$E$3:$AG$238,'Průběžky 2021 - celkové částky'!A8,'Data - Průběžky 2021'!$AE$3:$AE$237)+SUMIF('Data - Průběžky 2021'!$E$3:$AG$238,'Průběžky 2021 - celkové částky'!A8,'Data - Průběžky 2021'!$AF$3:$AF$237)+SUMIF('Data - Průběžky 2021'!$E$3:$AG$238,'Průběžky 2021 - celkové částky'!A8,'Data - Průběžky 2021'!$AG$3:$AG$237)</f>
        <v>246642.14</v>
      </c>
    </row>
    <row r="9" spans="1:23" x14ac:dyDescent="0.15">
      <c r="A9" s="92" t="s">
        <v>297</v>
      </c>
      <c r="B9" s="95">
        <f ca="1">SUMIF('Data - Průběžky 2021'!$E$3:$J$238,'Průběžky 2021 - celkové částky'!A9,'Data - Průběžky 2021'!$J$3:$J$238)</f>
        <v>31576663.23</v>
      </c>
      <c r="D9" s="92">
        <v>46.319999999999993</v>
      </c>
      <c r="E9" s="95"/>
      <c r="F9" s="95">
        <f t="shared" ca="1" si="0"/>
        <v>681706.8918393784</v>
      </c>
      <c r="G9" s="95"/>
      <c r="H9" s="95">
        <f t="shared" ca="1" si="1"/>
        <v>56808.907653281531</v>
      </c>
      <c r="J9" s="95">
        <f ca="1">SUMIF('Data - Průběžky 2021'!$E$3:$AG$238,'Průběžky 2021 - celkové částky'!A9,'Data - Průběžky 2021'!$L$3:$L$237)</f>
        <v>19739931</v>
      </c>
      <c r="K9" s="95">
        <v>9011450</v>
      </c>
      <c r="L9" s="95">
        <f ca="1">SUMIF('Data - Průběžky 2021'!$E$3:$N$238,'Průběžky 2021 - celkové částky'!A9,'Data - Průběžky 2021'!$N$3:$N$238)</f>
        <v>59000</v>
      </c>
      <c r="M9" s="95">
        <f ca="1">SUMIF('Data - Průběžky 2021'!$E$3:$R$238,'Průběžky 2021 - celkové částky'!A9,'Data - Průběžky 2021'!$O$3:$O$238)+SUMIF('Data - Průběžky 2021'!$E$3:$R$238,'Průběžky 2021 - celkové částky'!A9,'Data - Průběžky 2021'!$P$3:$P$238)+SUMIF('Data - Průběžky 2021'!$E$3:$R$238,'Průběžky 2021 - celkové částky'!A9,'Data - Průběžky 2021'!$Q$3:$Q$238)+SUMIF('Data - Průběžky 2021'!$E$3:$R$238,'Průběžky 2021 - celkové částky'!A9,'Data - Průběžky 2021'!$R$3:$R$238)</f>
        <v>0</v>
      </c>
      <c r="N9" s="95">
        <f ca="1">SUMIF('Data - Průběžky 2021'!$E$3:$AG$238,'Průběžky 2021 - celkové částky'!A9,'Data - Průběžky 2021'!$S$3:$S$237)</f>
        <v>74000</v>
      </c>
      <c r="O9" s="95">
        <f ca="1">SUMIF('Data - Průběžky 2021'!$E$3:$AG$238,'Průběžky 2021 - celkové částky'!A9,'Data - Průběžky 2021'!$T$3:$T$237)</f>
        <v>531000</v>
      </c>
      <c r="P9" s="95">
        <f ca="1">SUMIF('Data - Průběžky 2021'!$E$3:$AG$238,'Průběžky 2021 - celkové částky'!A9,'Data - Průběžky 2021'!$U$3:$U$237)</f>
        <v>0</v>
      </c>
      <c r="Q9" s="95">
        <f ca="1">SUMIF('Data - Průběžky 2021'!$E$3:$AG$238,'Průběžky 2021 - celkové částky'!A9,'Data - Průběžky 2021'!$V$3:$V$237)</f>
        <v>114564</v>
      </c>
      <c r="R9" s="95">
        <f ca="1">SUMIF('Data - Průběžky 2021'!$E$3:$AG$238,'Průběžky 2021 - celkové částky'!A9,'Data - Průběžky 2021'!$W$3:$W$237)+SUMIF('Data - Průběžky 2021'!$E$3:$AG$238,'Průběžky 2021 - celkové částky'!A9,'Data - Průběžky 2021'!$X$3:$X$237)</f>
        <v>60000</v>
      </c>
      <c r="S9" s="95">
        <f ca="1">SUMIF('Data - Průběžky 2021'!$E$3:$AG$238,'Průběžky 2021 - celkové částky'!A9,'Data - Průběžky 2021'!$Z$3:$Z$237)</f>
        <v>1908861</v>
      </c>
      <c r="T9" s="95">
        <f ca="1">SUMIF('Data - Průběžky 2021'!$E$3:$AG$238,'Průběžky 2021 - celkové částky'!A9,'Data - Průběžky 2021'!$AB$3:$AB$237)</f>
        <v>0</v>
      </c>
      <c r="U9" s="95">
        <f ca="1">SUMIF('Data - Průběžky 2021'!$E$3:$AG$238,'Průběžky 2021 - celkové částky'!A9,'Data - Průběžky 2021'!$AC$3:$AC$237)</f>
        <v>0</v>
      </c>
      <c r="V9" s="92">
        <f ca="1">SUMIF('Data - Průběžky 2021'!$E$3:$AG$238,'Průběžky 2021 - celkové částky'!A9,'Data - Průběžky 2021'!$AA$3:$AA$237)</f>
        <v>0</v>
      </c>
      <c r="W9" s="92">
        <f ca="1">SUMIF('Data - Průběžky 2021'!$E$3:$AG$238,'Průběžky 2021 - celkové částky'!A9,'Data - Průběžky 2021'!$AD$3:$AD$237)+SUMIF('Data - Průběžky 2021'!$E$3:$AG$238,'Průběžky 2021 - celkové částky'!A9,'Data - Průběžky 2021'!$AE$3:$AE$237)+SUMIF('Data - Průběžky 2021'!$E$3:$AG$238,'Průběžky 2021 - celkové částky'!A9,'Data - Průběžky 2021'!$AF$3:$AF$237)+SUMIF('Data - Průběžky 2021'!$E$3:$AG$238,'Průběžky 2021 - celkové částky'!A9,'Data - Průběžky 2021'!$AG$3:$AG$237)</f>
        <v>77857.23000000001</v>
      </c>
    </row>
    <row r="10" spans="1:23" x14ac:dyDescent="0.15">
      <c r="A10" s="92" t="s">
        <v>289</v>
      </c>
      <c r="B10" s="95">
        <f ca="1">SUMIF('Data - Průběžky 2021'!$E$3:$J$238,'Průběžky 2021 - celkové částky'!A10,'Data - Průběžky 2021'!$J$3:$J$238)</f>
        <v>29630194.639999997</v>
      </c>
      <c r="D10" s="92">
        <v>44.710000000000008</v>
      </c>
      <c r="E10" s="95"/>
      <c r="F10" s="95">
        <f t="shared" ca="1" si="0"/>
        <v>662719.62961306178</v>
      </c>
      <c r="G10" s="95"/>
      <c r="H10" s="95">
        <f t="shared" ca="1" si="1"/>
        <v>55226.63580108848</v>
      </c>
      <c r="J10" s="95">
        <f ca="1">SUMIF('Data - Průběžky 2021'!$E$3:$AG$238,'Průběžky 2021 - celkové částky'!A10,'Data - Průběžky 2021'!$L$3:$L$237)</f>
        <v>21081822</v>
      </c>
      <c r="K10" s="95">
        <v>2527424</v>
      </c>
      <c r="L10" s="95">
        <f ca="1">SUMIF('Data - Průběžky 2021'!$E$3:$N$238,'Průběžky 2021 - celkové částky'!A10,'Data - Průběžky 2021'!$N$3:$N$238)</f>
        <v>111000</v>
      </c>
      <c r="M10" s="95">
        <f ca="1">SUMIF('Data - Průběžky 2021'!$E$3:$R$238,'Průběžky 2021 - celkové částky'!A10,'Data - Průběžky 2021'!$O$3:$O$238)+SUMIF('Data - Průběžky 2021'!$E$3:$R$238,'Průběžky 2021 - celkové částky'!A10,'Data - Průběžky 2021'!$P$3:$P$238)+SUMIF('Data - Průběžky 2021'!$E$3:$R$238,'Průběžky 2021 - celkové částky'!A10,'Data - Průběžky 2021'!$Q$3:$Q$238)+SUMIF('Data - Průběžky 2021'!$E$3:$R$238,'Průběžky 2021 - celkové částky'!A10,'Data - Průběžky 2021'!$R$3:$R$238)</f>
        <v>0</v>
      </c>
      <c r="N10" s="95">
        <f ca="1">SUMIF('Data - Průběžky 2021'!$E$3:$AG$238,'Průběžky 2021 - celkové částky'!A10,'Data - Průběžky 2021'!$S$3:$S$237)</f>
        <v>433125</v>
      </c>
      <c r="O10" s="95">
        <f ca="1">SUMIF('Data - Průběžky 2021'!$E$3:$AG$238,'Průběžky 2021 - celkové částky'!A10,'Data - Průběžky 2021'!$T$3:$T$237)</f>
        <v>2859344</v>
      </c>
      <c r="P10" s="95">
        <f ca="1">SUMIF('Data - Průběžky 2021'!$E$3:$AG$238,'Průběžky 2021 - celkové částky'!A10,'Data - Průběžky 2021'!$U$3:$U$237)</f>
        <v>0</v>
      </c>
      <c r="Q10" s="95">
        <f ca="1">SUMIF('Data - Průběžky 2021'!$E$3:$AG$238,'Průběžky 2021 - celkové částky'!A10,'Data - Průběžky 2021'!$V$3:$V$237)</f>
        <v>205414</v>
      </c>
      <c r="R10" s="95">
        <f ca="1">SUMIF('Data - Průběžky 2021'!$E$3:$AG$238,'Průběžky 2021 - celkové částky'!A10,'Data - Průběžky 2021'!$W$3:$W$237)+SUMIF('Data - Průběžky 2021'!$E$3:$AG$238,'Průběžky 2021 - celkové částky'!A10,'Data - Průběžky 2021'!$X$3:$X$237)</f>
        <v>0</v>
      </c>
      <c r="S10" s="95">
        <f ca="1">SUMIF('Data - Průběžky 2021'!$E$3:$AG$238,'Průběžky 2021 - celkové částky'!A10,'Data - Průběžky 2021'!$Z$3:$Z$237)</f>
        <v>1959199</v>
      </c>
      <c r="T10" s="95">
        <f ca="1">SUMIF('Data - Průběžky 2021'!$E$3:$AG$238,'Průběžky 2021 - celkové částky'!A10,'Data - Průběžky 2021'!$AB$3:$AB$237)</f>
        <v>214061.25</v>
      </c>
      <c r="U10" s="95">
        <f ca="1">SUMIF('Data - Průběžky 2021'!$E$3:$AG$238,'Průběžky 2021 - celkové částky'!A10,'Data - Průběžky 2021'!$AC$3:$AC$237)</f>
        <v>0</v>
      </c>
      <c r="V10" s="92">
        <f ca="1">SUMIF('Data - Průběžky 2021'!$E$3:$AG$238,'Průběžky 2021 - celkové částky'!A10,'Data - Průběžky 2021'!$AA$3:$AA$237)</f>
        <v>25000</v>
      </c>
      <c r="W10" s="92">
        <f ca="1">SUMIF('Data - Průběžky 2021'!$E$3:$AG$238,'Průběžky 2021 - celkové částky'!A10,'Data - Průběžky 2021'!$AD$3:$AD$237)+SUMIF('Data - Průběžky 2021'!$E$3:$AG$238,'Průběžky 2021 - celkové částky'!A10,'Data - Průběžky 2021'!$AE$3:$AE$237)+SUMIF('Data - Průběžky 2021'!$E$3:$AG$238,'Průběžky 2021 - celkové částky'!A10,'Data - Průběžky 2021'!$AF$3:$AF$237)+SUMIF('Data - Průběžky 2021'!$E$3:$AG$238,'Průběžky 2021 - celkové částky'!A10,'Data - Průběžky 2021'!$AG$3:$AG$237)</f>
        <v>213805.39</v>
      </c>
    </row>
    <row r="11" spans="1:23" x14ac:dyDescent="0.15">
      <c r="A11" s="92" t="s">
        <v>334</v>
      </c>
      <c r="B11" s="95">
        <f ca="1">SUMIF('Data - Průběžky 2021'!$E$3:$J$238,'Průběžky 2021 - celkové částky'!A11,'Data - Průběžky 2021'!$J$3:$J$238)</f>
        <v>17555609.960000001</v>
      </c>
      <c r="C11" s="92">
        <v>34</v>
      </c>
      <c r="D11" s="92">
        <v>22.44</v>
      </c>
      <c r="E11" s="95">
        <f t="shared" ref="E11:E16" ca="1" si="2">B11/C11</f>
        <v>516341.46941176476</v>
      </c>
      <c r="F11" s="95"/>
      <c r="G11" s="95">
        <f t="shared" ref="G11:G16" ca="1" si="3">E11/12</f>
        <v>43028.45578431373</v>
      </c>
      <c r="H11" s="95"/>
      <c r="J11" s="95">
        <f ca="1">SUMIF('Data - Průběžky 2021'!$E$3:$AG$238,'Průběžky 2021 - celkové částky'!A11,'Data - Průběžky 2021'!$L$3:$L$237)</f>
        <v>11743171</v>
      </c>
      <c r="K11" s="95">
        <v>1863516</v>
      </c>
      <c r="L11" s="95">
        <f ca="1">SUMIF('Data - Průběžky 2021'!$E$3:$N$238,'Průběžky 2021 - celkové částky'!A11,'Data - Průběžky 2021'!$N$3:$N$238)</f>
        <v>0</v>
      </c>
      <c r="M11" s="95">
        <f ca="1">SUMIF('Data - Průběžky 2021'!$E$3:$R$238,'Průběžky 2021 - celkové částky'!A11,'Data - Průběžky 2021'!$O$3:$O$238)+SUMIF('Data - Průběžky 2021'!$E$3:$R$238,'Průběžky 2021 - celkové částky'!A11,'Data - Průběžky 2021'!$P$3:$P$238)+SUMIF('Data - Průběžky 2021'!$E$3:$R$238,'Průběžky 2021 - celkové částky'!A11,'Data - Průběžky 2021'!$Q$3:$Q$238)+SUMIF('Data - Průběžky 2021'!$E$3:$R$238,'Průběžky 2021 - celkové částky'!A11,'Data - Průběžky 2021'!$R$3:$R$238)</f>
        <v>0</v>
      </c>
      <c r="N11" s="95">
        <f ca="1">SUMIF('Data - Průběžky 2021'!$E$3:$AG$238,'Průběžky 2021 - celkové částky'!A11,'Data - Průběžky 2021'!$S$3:$S$237)</f>
        <v>0</v>
      </c>
      <c r="O11" s="95">
        <f ca="1">SUMIF('Data - Průběžky 2021'!$E$3:$AG$238,'Průběžky 2021 - celkové částky'!A11,'Data - Průběžky 2021'!$T$3:$T$237)</f>
        <v>43000</v>
      </c>
      <c r="P11" s="95">
        <f ca="1">SUMIF('Data - Průběžky 2021'!$E$3:$AG$238,'Průběžky 2021 - celkové částky'!A11,'Data - Průběžky 2021'!$U$3:$U$237)</f>
        <v>0</v>
      </c>
      <c r="Q11" s="95">
        <f ca="1">SUMIF('Data - Průběžky 2021'!$E$3:$AG$238,'Průběžky 2021 - celkové částky'!A11,'Data - Průběžky 2021'!$V$3:$V$237)</f>
        <v>0</v>
      </c>
      <c r="R11" s="95">
        <f ca="1">SUMIF('Data - Průběžky 2021'!$E$3:$AG$238,'Průběžky 2021 - celkové částky'!A11,'Data - Průběžky 2021'!$W$3:$W$237)+SUMIF('Data - Průběžky 2021'!$E$3:$AG$238,'Průběžky 2021 - celkové částky'!A11,'Data - Průběžky 2021'!$X$3:$X$237)</f>
        <v>0</v>
      </c>
      <c r="S11" s="95">
        <f ca="1">SUMIF('Data - Průběžky 2021'!$E$3:$AG$238,'Průběžky 2021 - celkové částky'!A11,'Data - Průběžky 2021'!$Z$3:$Z$237)</f>
        <v>2404190</v>
      </c>
      <c r="T11" s="95">
        <f ca="1">SUMIF('Data - Průběžky 2021'!$E$3:$AG$238,'Průběžky 2021 - celkové částky'!A11,'Data - Průběžky 2021'!$AB$3:$AB$237)</f>
        <v>1418019.97</v>
      </c>
      <c r="U11" s="95">
        <f ca="1">SUMIF('Data - Průběžky 2021'!$E$3:$AG$238,'Průběžky 2021 - celkové částky'!A11,'Data - Průběžky 2021'!$AC$3:$AC$237)</f>
        <v>0</v>
      </c>
      <c r="V11" s="92">
        <f ca="1">SUMIF('Data - Průběžky 2021'!$E$3:$AG$238,'Průběžky 2021 - celkové částky'!A11,'Data - Průběžky 2021'!$AA$3:$AA$237)</f>
        <v>0</v>
      </c>
      <c r="W11" s="92">
        <f ca="1">SUMIF('Data - Průběžky 2021'!$E$3:$AG$238,'Průběžky 2021 - celkové částky'!A11,'Data - Průběžky 2021'!$AD$3:$AD$237)+SUMIF('Data - Průběžky 2021'!$E$3:$AG$238,'Průběžky 2021 - celkové částky'!A11,'Data - Průběžky 2021'!$AE$3:$AE$237)+SUMIF('Data - Průběžky 2021'!$E$3:$AG$238,'Průběžky 2021 - celkové částky'!A11,'Data - Průběžky 2021'!$AF$3:$AF$237)+SUMIF('Data - Průběžky 2021'!$E$3:$AG$238,'Průběžky 2021 - celkové částky'!A11,'Data - Průběžky 2021'!$AG$3:$AG$237)</f>
        <v>83712.990000000005</v>
      </c>
    </row>
    <row r="12" spans="1:23" x14ac:dyDescent="0.15">
      <c r="A12" s="92" t="s">
        <v>298</v>
      </c>
      <c r="B12" s="95">
        <f ca="1">SUMIF('Data - Průběžky 2021'!$E$3:$J$238,'Průběžky 2021 - celkové částky'!A12,'Data - Průběžky 2021'!$J$3:$J$238)</f>
        <v>206051471.56999999</v>
      </c>
      <c r="C12" s="92">
        <v>303</v>
      </c>
      <c r="D12" s="92">
        <v>304.87</v>
      </c>
      <c r="E12" s="95">
        <f t="shared" ca="1" si="2"/>
        <v>680037.85996699671</v>
      </c>
      <c r="F12" s="95"/>
      <c r="G12" s="95">
        <f t="shared" ca="1" si="3"/>
        <v>56669.821663916395</v>
      </c>
      <c r="H12" s="95"/>
      <c r="J12" s="95">
        <f ca="1">SUMIF('Data - Průběžky 2021'!$E$3:$AG$238,'Průběžky 2021 - celkové částky'!A12,'Data - Průběžky 2021'!$L$3:$L$237)</f>
        <v>141390383</v>
      </c>
      <c r="K12" s="95">
        <v>29470716</v>
      </c>
      <c r="L12" s="95">
        <f ca="1">SUMIF('Data - Průběžky 2021'!$E$3:$N$238,'Průběžky 2021 - celkové částky'!A12,'Data - Průběžky 2021'!$N$3:$N$238)</f>
        <v>0</v>
      </c>
      <c r="M12" s="95">
        <f ca="1">SUMIF('Data - Průběžky 2021'!$E$3:$R$238,'Průběžky 2021 - celkové částky'!A12,'Data - Průběžky 2021'!$O$3:$O$238)+SUMIF('Data - Průběžky 2021'!$E$3:$R$238,'Průběžky 2021 - celkové částky'!A12,'Data - Průběžky 2021'!$P$3:$P$238)+SUMIF('Data - Průběžky 2021'!$E$3:$R$238,'Průběžky 2021 - celkové částky'!A12,'Data - Průběžky 2021'!$Q$3:$Q$238)+SUMIF('Data - Průběžky 2021'!$E$3:$R$238,'Průběžky 2021 - celkové částky'!A12,'Data - Průběžky 2021'!$R$3:$R$238)</f>
        <v>0</v>
      </c>
      <c r="N12" s="95">
        <f ca="1">SUMIF('Data - Průběžky 2021'!$E$3:$AG$238,'Průběžky 2021 - celkové částky'!A12,'Data - Průběžky 2021'!$S$3:$S$237)</f>
        <v>267743</v>
      </c>
      <c r="O12" s="95">
        <f ca="1">SUMIF('Data - Průběžky 2021'!$E$3:$AG$238,'Průběžky 2021 - celkové částky'!A12,'Data - Průběžky 2021'!$T$3:$T$237)</f>
        <v>0</v>
      </c>
      <c r="P12" s="95">
        <f ca="1">SUMIF('Data - Průběžky 2021'!$E$3:$AG$238,'Průběžky 2021 - celkové částky'!A12,'Data - Průběžky 2021'!$U$3:$U$237)</f>
        <v>0</v>
      </c>
      <c r="Q12" s="95">
        <f ca="1">SUMIF('Data - Průběžky 2021'!$E$3:$AG$238,'Průběžky 2021 - celkové částky'!A12,'Data - Průběžky 2021'!$V$3:$V$237)</f>
        <v>0</v>
      </c>
      <c r="R12" s="95">
        <f ca="1">SUMIF('Data - Průběžky 2021'!$E$3:$AG$238,'Průběžky 2021 - celkové částky'!A12,'Data - Průběžky 2021'!$W$3:$W$237)+SUMIF('Data - Průběžky 2021'!$E$3:$AG$238,'Průběžky 2021 - celkové částky'!A12,'Data - Průběžky 2021'!$X$3:$X$237)</f>
        <v>305529.42000000004</v>
      </c>
      <c r="S12" s="95">
        <f ca="1">SUMIF('Data - Průběžky 2021'!$E$3:$AG$238,'Průběžky 2021 - celkové částky'!A12,'Data - Průběžky 2021'!$Z$3:$Z$237)</f>
        <v>30716059</v>
      </c>
      <c r="T12" s="95">
        <f ca="1">SUMIF('Data - Průběžky 2021'!$E$3:$AG$238,'Průběžky 2021 - celkové částky'!A12,'Data - Průběžky 2021'!$AB$3:$AB$237)</f>
        <v>2874148.94</v>
      </c>
      <c r="U12" s="95">
        <f ca="1">SUMIF('Data - Průběžky 2021'!$E$3:$AG$238,'Průběžky 2021 - celkové částky'!A12,'Data - Průběžky 2021'!$AC$3:$AC$237)</f>
        <v>0</v>
      </c>
      <c r="V12" s="92">
        <f ca="1">SUMIF('Data - Průběžky 2021'!$E$3:$AG$238,'Průběžky 2021 - celkové částky'!A12,'Data - Průběžky 2021'!$AA$3:$AA$237)</f>
        <v>234939</v>
      </c>
      <c r="W12" s="92">
        <f ca="1">SUMIF('Data - Průběžky 2021'!$E$3:$AG$238,'Průběžky 2021 - celkové částky'!A12,'Data - Průběžky 2021'!$AD$3:$AD$237)+SUMIF('Data - Průběžky 2021'!$E$3:$AG$238,'Průběžky 2021 - celkové částky'!A12,'Data - Průběžky 2021'!$AE$3:$AE$237)+SUMIF('Data - Průběžky 2021'!$E$3:$AG$238,'Průběžky 2021 - celkové částky'!A12,'Data - Průběžky 2021'!$AF$3:$AF$237)+SUMIF('Data - Průběžky 2021'!$E$3:$AG$238,'Průběžky 2021 - celkové částky'!A12,'Data - Průběžky 2021'!$AG$3:$AG$237)</f>
        <v>791953.21</v>
      </c>
    </row>
    <row r="13" spans="1:23" x14ac:dyDescent="0.15">
      <c r="A13" s="92" t="s">
        <v>285</v>
      </c>
      <c r="B13" s="95">
        <f ca="1">SUMIF('Data - Průběžky 2021'!$E$3:$J$238,'Průběžky 2021 - celkové částky'!A13,'Data - Průběžky 2021'!$J$3:$J$238)</f>
        <v>355459341.47999996</v>
      </c>
      <c r="C13" s="92">
        <v>992</v>
      </c>
      <c r="D13" s="92">
        <v>499.59999999999991</v>
      </c>
      <c r="E13" s="95">
        <f t="shared" ca="1" si="2"/>
        <v>358325.94907258061</v>
      </c>
      <c r="F13" s="95"/>
      <c r="G13" s="95">
        <f t="shared" ca="1" si="3"/>
        <v>29860.495756048385</v>
      </c>
      <c r="H13" s="95"/>
      <c r="J13" s="95">
        <f ca="1">SUMIF('Data - Průběžky 2021'!$E$3:$AG$238,'Průběžky 2021 - celkové částky'!A13,'Data - Průběžky 2021'!$L$3:$L$237)</f>
        <v>152012000</v>
      </c>
      <c r="K13" s="95">
        <v>35761961</v>
      </c>
      <c r="L13" s="95">
        <f ca="1">SUMIF('Data - Průběžky 2021'!$E$3:$N$238,'Průběžky 2021 - celkové částky'!A13,'Data - Průběžky 2021'!$N$3:$N$238)</f>
        <v>492000</v>
      </c>
      <c r="M13" s="95">
        <f ca="1">SUMIF('Data - Průběžky 2021'!$E$3:$R$238,'Průběžky 2021 - celkové částky'!A13,'Data - Průběžky 2021'!$O$3:$O$238)+SUMIF('Data - Průběžky 2021'!$E$3:$R$238,'Průběžky 2021 - celkové částky'!A13,'Data - Průběžky 2021'!$P$3:$P$238)+SUMIF('Data - Průběžky 2021'!$E$3:$R$238,'Průběžky 2021 - celkové částky'!A13,'Data - Průběžky 2021'!$Q$3:$Q$238)+SUMIF('Data - Průběžky 2021'!$E$3:$R$238,'Průběžky 2021 - celkové částky'!A13,'Data - Průběžky 2021'!$R$3:$R$238)</f>
        <v>0</v>
      </c>
      <c r="N13" s="95">
        <f ca="1">SUMIF('Data - Průběžky 2021'!$E$3:$AG$238,'Průběžky 2021 - celkové částky'!A13,'Data - Průběžky 2021'!$S$3:$S$237)</f>
        <v>1052948</v>
      </c>
      <c r="O13" s="95">
        <f ca="1">SUMIF('Data - Průběžky 2021'!$E$3:$AG$238,'Průběžky 2021 - celkové částky'!A13,'Data - Průběžky 2021'!$T$3:$T$237)</f>
        <v>30305000</v>
      </c>
      <c r="P13" s="95">
        <f ca="1">SUMIF('Data - Průběžky 2021'!$E$3:$AG$238,'Průběžky 2021 - celkové částky'!A13,'Data - Průběžky 2021'!$U$3:$U$237)</f>
        <v>0</v>
      </c>
      <c r="Q13" s="95">
        <f ca="1">SUMIF('Data - Průběžky 2021'!$E$3:$AG$238,'Průběžky 2021 - celkové částky'!A13,'Data - Průběžky 2021'!$V$3:$V$237)</f>
        <v>0</v>
      </c>
      <c r="R13" s="95">
        <f ca="1">SUMIF('Data - Průběžky 2021'!$E$3:$AG$238,'Průběžky 2021 - celkové částky'!A13,'Data - Průběžky 2021'!$W$3:$W$237)+SUMIF('Data - Průběžky 2021'!$E$3:$AG$238,'Průběžky 2021 - celkové částky'!A13,'Data - Průběžky 2021'!$X$3:$X$237)</f>
        <v>62112.6</v>
      </c>
      <c r="S13" s="95">
        <f ca="1">SUMIF('Data - Průběžky 2021'!$E$3:$AG$238,'Průběžky 2021 - celkové částky'!A13,'Data - Průběžky 2021'!$Z$3:$Z$237)</f>
        <v>82213311.040000007</v>
      </c>
      <c r="T13" s="95">
        <f ca="1">SUMIF('Data - Průběžky 2021'!$E$3:$AG$238,'Průběžky 2021 - celkové částky'!A13,'Data - Průběžky 2021'!$AB$3:$AB$237)</f>
        <v>25778123.300000008</v>
      </c>
      <c r="U13" s="95">
        <f ca="1">SUMIF('Data - Průběžky 2021'!$E$3:$AG$238,'Průběžky 2021 - celkové částky'!A13,'Data - Průběžky 2021'!$AC$3:$AC$237)</f>
        <v>0</v>
      </c>
      <c r="V13" s="92">
        <f ca="1">SUMIF('Data - Průběžky 2021'!$E$3:$AG$238,'Průběžky 2021 - celkové částky'!A13,'Data - Průběžky 2021'!$AA$3:$AA$237)</f>
        <v>23543606</v>
      </c>
      <c r="W13" s="92">
        <f ca="1">SUMIF('Data - Průběžky 2021'!$E$3:$AG$238,'Průběžky 2021 - celkové částky'!A13,'Data - Průběžky 2021'!$AD$3:$AD$237)+SUMIF('Data - Průběžky 2021'!$E$3:$AG$238,'Průběžky 2021 - celkové částky'!A13,'Data - Průběžky 2021'!$AE$3:$AE$237)+SUMIF('Data - Průběžky 2021'!$E$3:$AG$238,'Průběžky 2021 - celkové částky'!A13,'Data - Průběžky 2021'!$AF$3:$AF$237)+SUMIF('Data - Průběžky 2021'!$E$3:$AG$238,'Průběžky 2021 - celkové částky'!A13,'Data - Průběžky 2021'!$AG$3:$AG$237)</f>
        <v>4238279.540000001</v>
      </c>
    </row>
    <row r="14" spans="1:23" x14ac:dyDescent="0.15">
      <c r="A14" s="92" t="s">
        <v>290</v>
      </c>
      <c r="B14" s="95">
        <f ca="1">SUMIF('Data - Průběžky 2021'!$E$3:$J$238,'Průběžky 2021 - celkové částky'!A14,'Data - Průběžky 2021'!$J$3:$J$238)</f>
        <v>272098346.57999998</v>
      </c>
      <c r="C14" s="92">
        <v>635</v>
      </c>
      <c r="D14" s="92">
        <v>377.29500000000002</v>
      </c>
      <c r="E14" s="95">
        <f t="shared" ca="1" si="2"/>
        <v>428501.33319685038</v>
      </c>
      <c r="F14" s="95"/>
      <c r="G14" s="95">
        <f t="shared" ca="1" si="3"/>
        <v>35708.444433070865</v>
      </c>
      <c r="H14" s="95"/>
      <c r="J14" s="95">
        <f ca="1">SUMIF('Data - Průběžky 2021'!$E$3:$AG$238,'Průběžky 2021 - celkové částky'!A14,'Data - Průběžky 2021'!$L$3:$L$237)</f>
        <v>134326440</v>
      </c>
      <c r="K14" s="95">
        <v>21827158</v>
      </c>
      <c r="L14" s="95">
        <f ca="1">SUMIF('Data - Průběžky 2021'!$E$3:$N$238,'Průběžky 2021 - celkové částky'!A14,'Data - Průběžky 2021'!$N$3:$N$238)</f>
        <v>231000</v>
      </c>
      <c r="M14" s="95">
        <f ca="1">SUMIF('Data - Průběžky 2021'!$E$3:$R$238,'Průběžky 2021 - celkové částky'!A14,'Data - Průběžky 2021'!$O$3:$O$238)+SUMIF('Data - Průběžky 2021'!$E$3:$R$238,'Průběžky 2021 - celkové částky'!A14,'Data - Průběžky 2021'!$P$3:$P$238)+SUMIF('Data - Průběžky 2021'!$E$3:$R$238,'Průběžky 2021 - celkové částky'!A14,'Data - Průběžky 2021'!$Q$3:$Q$238)+SUMIF('Data - Průběžky 2021'!$E$3:$R$238,'Průběžky 2021 - celkové částky'!A14,'Data - Průběžky 2021'!$R$3:$R$238)</f>
        <v>0</v>
      </c>
      <c r="N14" s="95">
        <f ca="1">SUMIF('Data - Průběžky 2021'!$E$3:$AG$238,'Průběžky 2021 - celkové částky'!A14,'Data - Průběžky 2021'!$S$3:$S$237)</f>
        <v>1567873</v>
      </c>
      <c r="O14" s="95">
        <f ca="1">SUMIF('Data - Průběžky 2021'!$E$3:$AG$238,'Průběžky 2021 - celkové částky'!A14,'Data - Průběžky 2021'!$T$3:$T$237)</f>
        <v>7126000</v>
      </c>
      <c r="P14" s="95">
        <f ca="1">SUMIF('Data - Průběžky 2021'!$E$3:$AG$238,'Průběžky 2021 - celkové částky'!A14,'Data - Průběžky 2021'!$U$3:$U$237)</f>
        <v>0</v>
      </c>
      <c r="Q14" s="95">
        <f ca="1">SUMIF('Data - Průběžky 2021'!$E$3:$AG$238,'Průběžky 2021 - celkové částky'!A14,'Data - Průběžky 2021'!$V$3:$V$237)</f>
        <v>0</v>
      </c>
      <c r="R14" s="95">
        <f ca="1">SUMIF('Data - Průběžky 2021'!$E$3:$AG$238,'Průběžky 2021 - celkové částky'!A14,'Data - Průběžky 2021'!$W$3:$W$237)+SUMIF('Data - Průběžky 2021'!$E$3:$AG$238,'Průběžky 2021 - celkové částky'!A14,'Data - Průběžky 2021'!$X$3:$X$237)</f>
        <v>44006</v>
      </c>
      <c r="S14" s="95">
        <f ca="1">SUMIF('Data - Průběžky 2021'!$E$3:$AG$238,'Průběžky 2021 - celkové částky'!A14,'Data - Průběžky 2021'!$Z$3:$Z$237)</f>
        <v>60735633</v>
      </c>
      <c r="T14" s="95">
        <f ca="1">SUMIF('Data - Průběžky 2021'!$E$3:$AG$238,'Průběžky 2021 - celkové částky'!A14,'Data - Průběžky 2021'!$AB$3:$AB$237)</f>
        <v>25854706.280000001</v>
      </c>
      <c r="U14" s="95">
        <f ca="1">SUMIF('Data - Průběžky 2021'!$E$3:$AG$238,'Průběžky 2021 - celkové částky'!A14,'Data - Průběžky 2021'!$AC$3:$AC$237)</f>
        <v>0</v>
      </c>
      <c r="V14" s="92">
        <f ca="1">SUMIF('Data - Průběžky 2021'!$E$3:$AG$238,'Průběžky 2021 - celkové částky'!A14,'Data - Průběžky 2021'!$AA$3:$AA$237)</f>
        <v>15752135</v>
      </c>
      <c r="W14" s="92">
        <f ca="1">SUMIF('Data - Průběžky 2021'!$E$3:$AG$238,'Průběžky 2021 - celkové částky'!A14,'Data - Průběžky 2021'!$AD$3:$AD$237)+SUMIF('Data - Průběžky 2021'!$E$3:$AG$238,'Průběžky 2021 - celkové částky'!A14,'Data - Průběžky 2021'!$AE$3:$AE$237)+SUMIF('Data - Průběžky 2021'!$E$3:$AG$238,'Průběžky 2021 - celkové částky'!A14,'Data - Průběžky 2021'!$AF$3:$AF$237)+SUMIF('Data - Průběžky 2021'!$E$3:$AG$238,'Průběžky 2021 - celkové částky'!A14,'Data - Průběžky 2021'!$AG$3:$AG$237)</f>
        <v>4633395.3000000007</v>
      </c>
    </row>
    <row r="15" spans="1:23" x14ac:dyDescent="0.15">
      <c r="A15" s="92" t="s">
        <v>337</v>
      </c>
      <c r="B15" s="95">
        <f ca="1">SUMIF('Data - Průběžky 2021'!$E$3:$J$238,'Průběžky 2021 - celkové částky'!A15,'Data - Průběžky 2021'!$J$3:$J$238)</f>
        <v>34899148</v>
      </c>
      <c r="C15" s="92">
        <v>136</v>
      </c>
      <c r="D15" s="92">
        <v>52.1</v>
      </c>
      <c r="E15" s="95">
        <f t="shared" ca="1" si="2"/>
        <v>256611.38235294117</v>
      </c>
      <c r="F15" s="95"/>
      <c r="G15" s="95">
        <f t="shared" ca="1" si="3"/>
        <v>21384.281862745098</v>
      </c>
      <c r="H15" s="95"/>
      <c r="J15" s="95">
        <f ca="1">SUMIF('Data - Průběžky 2021'!$E$3:$AG$238,'Průběžky 2021 - celkové částky'!A15,'Data - Průběžky 2021'!$L$3:$L$237)</f>
        <v>23420600</v>
      </c>
      <c r="K15" s="95">
        <v>1400000</v>
      </c>
      <c r="L15" s="95">
        <f ca="1">SUMIF('Data - Průběžky 2021'!$E$3:$N$238,'Průběžky 2021 - celkové částky'!A15,'Data - Průběžky 2021'!$N$3:$N$238)</f>
        <v>522000</v>
      </c>
      <c r="M15" s="95">
        <f ca="1">SUMIF('Data - Průběžky 2021'!$E$3:$R$238,'Průběžky 2021 - celkové částky'!A15,'Data - Průběžky 2021'!$O$3:$O$238)+SUMIF('Data - Průběžky 2021'!$E$3:$R$238,'Průběžky 2021 - celkové částky'!A15,'Data - Průběžky 2021'!$P$3:$P$238)+SUMIF('Data - Průběžky 2021'!$E$3:$R$238,'Průběžky 2021 - celkové částky'!A15,'Data - Průběžky 2021'!$Q$3:$Q$238)+SUMIF('Data - Průběžky 2021'!$E$3:$R$238,'Průběžky 2021 - celkové částky'!A15,'Data - Průběžky 2021'!$R$3:$R$238)</f>
        <v>965000</v>
      </c>
      <c r="N15" s="95">
        <f ca="1">SUMIF('Data - Průběžky 2021'!$E$3:$AG$238,'Průběžky 2021 - celkové částky'!A15,'Data - Průběžky 2021'!$S$3:$S$237)</f>
        <v>1411952</v>
      </c>
      <c r="O15" s="95">
        <f ca="1">SUMIF('Data - Průběžky 2021'!$E$3:$AG$238,'Průběžky 2021 - celkové částky'!A15,'Data - Průběžky 2021'!$T$3:$T$237)</f>
        <v>0</v>
      </c>
      <c r="P15" s="95">
        <f ca="1">SUMIF('Data - Průběžky 2021'!$E$3:$AG$238,'Průběžky 2021 - celkové částky'!A15,'Data - Průběžky 2021'!$U$3:$U$237)</f>
        <v>0</v>
      </c>
      <c r="Q15" s="95">
        <f ca="1">SUMIF('Data - Průběžky 2021'!$E$3:$AG$238,'Průběžky 2021 - celkové částky'!A15,'Data - Průběžky 2021'!$V$3:$V$237)</f>
        <v>101587</v>
      </c>
      <c r="R15" s="95">
        <f ca="1">SUMIF('Data - Průběžky 2021'!$E$3:$AG$238,'Průběžky 2021 - celkové částky'!A15,'Data - Průběžky 2021'!$W$3:$W$237)+SUMIF('Data - Průběžky 2021'!$E$3:$AG$238,'Průběžky 2021 - celkové částky'!A15,'Data - Průběžky 2021'!$X$3:$X$237)</f>
        <v>0</v>
      </c>
      <c r="S15" s="95">
        <f ca="1">SUMIF('Data - Průběžky 2021'!$E$3:$AG$238,'Průběžky 2021 - celkové částky'!A15,'Data - Průběžky 2021'!$Z$3:$Z$237)</f>
        <v>6877654</v>
      </c>
      <c r="T15" s="95">
        <f ca="1">SUMIF('Data - Průběžky 2021'!$E$3:$AG$238,'Průběžky 2021 - celkové částky'!A15,'Data - Průběžky 2021'!$AB$3:$AB$237)</f>
        <v>0</v>
      </c>
      <c r="U15" s="95">
        <f ca="1">SUMIF('Data - Průběžky 2021'!$E$3:$AG$238,'Průběžky 2021 - celkové částky'!A15,'Data - Průběžky 2021'!$AC$3:$AC$237)</f>
        <v>0</v>
      </c>
      <c r="V15" s="92">
        <f ca="1">SUMIF('Data - Průběžky 2021'!$E$3:$AG$238,'Průběžky 2021 - celkové částky'!A15,'Data - Průběžky 2021'!$AA$3:$AA$237)</f>
        <v>81997</v>
      </c>
      <c r="W15" s="92">
        <f ca="1">SUMIF('Data - Průběžky 2021'!$E$3:$AG$238,'Průběžky 2021 - celkové částky'!A15,'Data - Průběžky 2021'!$AD$3:$AD$237)+SUMIF('Data - Průběžky 2021'!$E$3:$AG$238,'Průběžky 2021 - celkové částky'!A15,'Data - Průběžky 2021'!$AE$3:$AE$237)+SUMIF('Data - Průběžky 2021'!$E$3:$AG$238,'Průběžky 2021 - celkové částky'!A15,'Data - Průběžky 2021'!$AF$3:$AF$237)+SUMIF('Data - Průběžky 2021'!$E$3:$AG$238,'Průběžky 2021 - celkové částky'!A15,'Data - Průběžky 2021'!$AG$3:$AG$237)</f>
        <v>118358</v>
      </c>
    </row>
    <row r="16" spans="1:23" x14ac:dyDescent="0.15">
      <c r="A16" s="92" t="s">
        <v>414</v>
      </c>
      <c r="B16" s="95">
        <f ca="1">SUMIF('Data - Průběžky 2021'!$E$3:$J$238,'Průběžky 2021 - celkové částky'!A16,'Data - Průběžky 2021'!$J$3:$J$238)</f>
        <v>2826242</v>
      </c>
      <c r="C16" s="92">
        <v>14</v>
      </c>
      <c r="D16" s="92">
        <v>5.9300000000000006</v>
      </c>
      <c r="E16" s="95">
        <f t="shared" ca="1" si="2"/>
        <v>201874.42857142858</v>
      </c>
      <c r="F16" s="95"/>
      <c r="G16" s="95">
        <f t="shared" ca="1" si="3"/>
        <v>16822.86904761905</v>
      </c>
      <c r="H16" s="95"/>
      <c r="J16" s="95">
        <f ca="1">SUMIF('Data - Průběžky 2021'!$E$3:$AG$238,'Průběžky 2021 - celkové částky'!A16,'Data - Průběžky 2021'!$L$3:$L$237)</f>
        <v>1575000</v>
      </c>
      <c r="K16" s="95">
        <v>0</v>
      </c>
      <c r="L16" s="95">
        <f ca="1">SUMIF('Data - Průběžky 2021'!$E$3:$N$238,'Průběžky 2021 - celkové částky'!A16,'Data - Průběžky 2021'!$N$3:$N$238)</f>
        <v>200000</v>
      </c>
      <c r="M16" s="95">
        <f ca="1">SUMIF('Data - Průběžky 2021'!$E$3:$R$238,'Průběžky 2021 - celkové částky'!A16,'Data - Průběžky 2021'!$O$3:$O$238)+SUMIF('Data - Průběžky 2021'!$E$3:$R$238,'Průběžky 2021 - celkové částky'!A16,'Data - Průběžky 2021'!$P$3:$P$238)+SUMIF('Data - Průběžky 2021'!$E$3:$R$238,'Průběžky 2021 - celkové částky'!A16,'Data - Průběžky 2021'!$Q$3:$Q$238)+SUMIF('Data - Průběžky 2021'!$E$3:$R$238,'Průběžky 2021 - celkové částky'!A16,'Data - Průběžky 2021'!$R$3:$R$238)</f>
        <v>0</v>
      </c>
      <c r="N16" s="95">
        <f ca="1">SUMIF('Data - Průběžky 2021'!$E$3:$AG$238,'Průběžky 2021 - celkové částky'!A16,'Data - Průběžky 2021'!$S$3:$S$237)</f>
        <v>0</v>
      </c>
      <c r="O16" s="95">
        <f ca="1">SUMIF('Data - Průběžky 2021'!$E$3:$AG$238,'Průběžky 2021 - celkové částky'!A16,'Data - Průběžky 2021'!$T$3:$T$237)</f>
        <v>0</v>
      </c>
      <c r="P16" s="95">
        <f ca="1">SUMIF('Data - Průběžky 2021'!$E$3:$AG$238,'Průběžky 2021 - celkové částky'!A16,'Data - Průběžky 2021'!$U$3:$U$237)</f>
        <v>0</v>
      </c>
      <c r="Q16" s="95">
        <f ca="1">SUMIF('Data - Průběžky 2021'!$E$3:$AG$238,'Průběžky 2021 - celkové částky'!A16,'Data - Průběžky 2021'!$V$3:$V$237)</f>
        <v>0</v>
      </c>
      <c r="R16" s="95">
        <f ca="1">SUMIF('Data - Průběžky 2021'!$E$3:$AG$238,'Průběžky 2021 - celkové částky'!A16,'Data - Průběžky 2021'!$W$3:$W$237)+SUMIF('Data - Průběžky 2021'!$E$3:$AG$238,'Průběžky 2021 - celkové částky'!A16,'Data - Průběžky 2021'!$X$3:$X$237)</f>
        <v>0</v>
      </c>
      <c r="S16" s="95">
        <f ca="1">SUMIF('Data - Průběžky 2021'!$E$3:$AG$238,'Průběžky 2021 - celkové částky'!A16,'Data - Průběžky 2021'!$Z$3:$Z$237)</f>
        <v>912353</v>
      </c>
      <c r="T16" s="95">
        <f ca="1">SUMIF('Data - Průběžky 2021'!$E$3:$AG$238,'Průběžky 2021 - celkové částky'!A16,'Data - Průběžky 2021'!$AB$3:$AB$237)</f>
        <v>13929</v>
      </c>
      <c r="U16" s="95">
        <f ca="1">SUMIF('Data - Průběžky 2021'!$E$3:$AG$238,'Průběžky 2021 - celkové částky'!A16,'Data - Průběžky 2021'!$AC$3:$AC$237)</f>
        <v>0</v>
      </c>
      <c r="V16" s="92">
        <f ca="1">SUMIF('Data - Průběžky 2021'!$E$3:$AG$238,'Průběžky 2021 - celkové částky'!A16,'Data - Průběžky 2021'!$AA$3:$AA$237)</f>
        <v>124960</v>
      </c>
      <c r="W16" s="92">
        <f ca="1">SUMIF('Data - Průběžky 2021'!$E$3:$AG$238,'Průběžky 2021 - celkové částky'!A16,'Data - Průběžky 2021'!$AD$3:$AD$237)+SUMIF('Data - Průběžky 2021'!$E$3:$AG$238,'Průběžky 2021 - celkové částky'!A16,'Data - Průběžky 2021'!$AE$3:$AE$237)+SUMIF('Data - Průběžky 2021'!$E$3:$AG$238,'Průběžky 2021 - celkové částky'!A16,'Data - Průběžky 2021'!$AF$3:$AF$237)+SUMIF('Data - Průběžky 2021'!$E$3:$AG$238,'Průběžky 2021 - celkové částky'!A16,'Data - Průběžky 2021'!$AG$3:$AG$237)</f>
        <v>0</v>
      </c>
    </row>
    <row r="17" spans="1:23" x14ac:dyDescent="0.15">
      <c r="A17" s="92" t="s">
        <v>313</v>
      </c>
      <c r="B17" s="95">
        <f ca="1">SUMIF('Data - Průběžky 2021'!$E$3:$J$238,'Průběžky 2021 - celkové částky'!A17,'Data - Průběžky 2021'!$J$3:$J$238)</f>
        <v>9815521</v>
      </c>
      <c r="D17" s="92">
        <v>10.8</v>
      </c>
      <c r="E17" s="95"/>
      <c r="F17" s="95">
        <f t="shared" ca="1" si="0"/>
        <v>908844.53703703696</v>
      </c>
      <c r="G17" s="95"/>
      <c r="H17" s="95">
        <f t="shared" ca="1" si="1"/>
        <v>75737.044753086418</v>
      </c>
      <c r="J17" s="95">
        <f ca="1">SUMIF('Data - Průběžky 2021'!$E$3:$AG$238,'Průběžky 2021 - celkové částky'!A17,'Data - Průběžky 2021'!$L$3:$L$237)</f>
        <v>8095500</v>
      </c>
      <c r="K17" s="95">
        <v>0</v>
      </c>
      <c r="L17" s="95">
        <f ca="1">SUMIF('Data - Průběžky 2021'!$E$3:$N$238,'Průběžky 2021 - celkové částky'!A17,'Data - Průběžky 2021'!$N$3:$N$238)</f>
        <v>278000</v>
      </c>
      <c r="M17" s="95">
        <f ca="1">SUMIF('Data - Průběžky 2021'!$E$3:$R$238,'Průběžky 2021 - celkové částky'!A17,'Data - Průběžky 2021'!$O$3:$O$238)+SUMIF('Data - Průběžky 2021'!$E$3:$R$238,'Průběžky 2021 - celkové částky'!A17,'Data - Průběžky 2021'!$P$3:$P$238)+SUMIF('Data - Průběžky 2021'!$E$3:$R$238,'Průběžky 2021 - celkové částky'!A17,'Data - Průběžky 2021'!$Q$3:$Q$238)+SUMIF('Data - Průběžky 2021'!$E$3:$R$238,'Průběžky 2021 - celkové částky'!A17,'Data - Průběžky 2021'!$R$3:$R$238)</f>
        <v>0</v>
      </c>
      <c r="N17" s="95">
        <f ca="1">SUMIF('Data - Průběžky 2021'!$E$3:$AG$238,'Průběžky 2021 - celkové částky'!A17,'Data - Průběžky 2021'!$S$3:$S$237)</f>
        <v>1442021</v>
      </c>
      <c r="O17" s="95">
        <f ca="1">SUMIF('Data - Průběžky 2021'!$E$3:$AG$238,'Průběžky 2021 - celkové částky'!A17,'Data - Průběžky 2021'!$T$3:$T$237)</f>
        <v>0</v>
      </c>
      <c r="P17" s="95">
        <f ca="1">SUMIF('Data - Průběžky 2021'!$E$3:$AG$238,'Průběžky 2021 - celkové částky'!A17,'Data - Průběžky 2021'!$U$3:$U$237)</f>
        <v>0</v>
      </c>
      <c r="Q17" s="95">
        <f ca="1">SUMIF('Data - Průběžky 2021'!$E$3:$AG$238,'Průběžky 2021 - celkové částky'!A17,'Data - Průběžky 2021'!$V$3:$V$237)</f>
        <v>0</v>
      </c>
      <c r="R17" s="95">
        <f ca="1">SUMIF('Data - Průběžky 2021'!$E$3:$AG$238,'Průběžky 2021 - celkové částky'!A17,'Data - Průběžky 2021'!$W$3:$W$237)+SUMIF('Data - Průběžky 2021'!$E$3:$AG$238,'Průběžky 2021 - celkové částky'!A17,'Data - Průběžky 2021'!$X$3:$X$237)</f>
        <v>0</v>
      </c>
      <c r="S17" s="95">
        <f ca="1">SUMIF('Data - Průběžky 2021'!$E$3:$AG$238,'Průběžky 2021 - celkové částky'!A17,'Data - Průběžky 2021'!$Z$3:$Z$237)</f>
        <v>0</v>
      </c>
      <c r="T17" s="95">
        <f ca="1">SUMIF('Data - Průběžky 2021'!$E$3:$AG$238,'Průběžky 2021 - celkové částky'!A17,'Data - Průběžky 2021'!$AB$3:$AB$237)</f>
        <v>0</v>
      </c>
      <c r="U17" s="95">
        <f ca="1">SUMIF('Data - Průběžky 2021'!$E$3:$AG$238,'Průběžky 2021 - celkové částky'!A17,'Data - Průběžky 2021'!$AC$3:$AC$237)</f>
        <v>0</v>
      </c>
      <c r="V17" s="92">
        <f ca="1">SUMIF('Data - Průběžky 2021'!$E$3:$AG$238,'Průběžky 2021 - celkové částky'!A17,'Data - Průběžky 2021'!$AA$3:$AA$237)</f>
        <v>0</v>
      </c>
      <c r="W17" s="92">
        <f ca="1">SUMIF('Data - Průběžky 2021'!$E$3:$AG$238,'Průběžky 2021 - celkové částky'!A17,'Data - Průběžky 2021'!$AD$3:$AD$237)+SUMIF('Data - Průběžky 2021'!$E$3:$AG$238,'Průběžky 2021 - celkové částky'!A17,'Data - Průběžky 2021'!$AE$3:$AE$237)+SUMIF('Data - Průběžky 2021'!$E$3:$AG$238,'Průběžky 2021 - celkové částky'!A17,'Data - Průběžky 2021'!$AF$3:$AF$237)+SUMIF('Data - Průběžky 2021'!$E$3:$AG$238,'Průběžky 2021 - celkové částky'!A17,'Data - Průběžky 2021'!$AG$3:$AG$237)</f>
        <v>0</v>
      </c>
    </row>
    <row r="18" spans="1:23" x14ac:dyDescent="0.15">
      <c r="A18" s="92" t="s">
        <v>304</v>
      </c>
      <c r="B18" s="95">
        <f ca="1">SUMIF('Data - Průběžky 2021'!$E$3:$J$238,'Průběžky 2021 - celkové částky'!A18,'Data - Průběžky 2021'!$J$3:$J$238)</f>
        <v>3696537</v>
      </c>
      <c r="D18" s="92">
        <v>6.35</v>
      </c>
      <c r="E18" s="95"/>
      <c r="F18" s="95">
        <f t="shared" ca="1" si="0"/>
        <v>582131.81102362205</v>
      </c>
      <c r="G18" s="95"/>
      <c r="H18" s="95">
        <f t="shared" ca="1" si="1"/>
        <v>48510.984251968504</v>
      </c>
      <c r="J18" s="95">
        <f ca="1">SUMIF('Data - Průběžky 2021'!$E$3:$AG$238,'Průběžky 2021 - celkové částky'!A18,'Data - Průběžky 2021'!$L$3:$L$237)</f>
        <v>2855000</v>
      </c>
      <c r="K18" s="95">
        <v>358817</v>
      </c>
      <c r="L18" s="95">
        <f ca="1">SUMIF('Data - Průběžky 2021'!$E$3:$N$238,'Průběžky 2021 - celkové částky'!A18,'Data - Průběžky 2021'!$N$3:$N$238)</f>
        <v>0</v>
      </c>
      <c r="M18" s="95">
        <f ca="1">SUMIF('Data - Průběžky 2021'!$E$3:$R$238,'Průběžky 2021 - celkové částky'!A18,'Data - Průběžky 2021'!$O$3:$O$238)+SUMIF('Data - Průběžky 2021'!$E$3:$R$238,'Průběžky 2021 - celkové částky'!A18,'Data - Průběžky 2021'!$P$3:$P$238)+SUMIF('Data - Průběžky 2021'!$E$3:$R$238,'Průběžky 2021 - celkové částky'!A18,'Data - Průběžky 2021'!$Q$3:$Q$238)+SUMIF('Data - Průběžky 2021'!$E$3:$R$238,'Průběžky 2021 - celkové částky'!A18,'Data - Průběžky 2021'!$R$3:$R$238)</f>
        <v>41220</v>
      </c>
      <c r="N18" s="95">
        <f ca="1">SUMIF('Data - Průběžky 2021'!$E$3:$AG$238,'Průběžky 2021 - celkové částky'!A18,'Data - Průběžky 2021'!$S$3:$S$237)</f>
        <v>0</v>
      </c>
      <c r="O18" s="95">
        <f ca="1">SUMIF('Data - Průběžky 2021'!$E$3:$AG$238,'Průběžky 2021 - celkové částky'!A18,'Data - Průběžky 2021'!$T$3:$T$237)</f>
        <v>0</v>
      </c>
      <c r="P18" s="95">
        <f ca="1">SUMIF('Data - Průběžky 2021'!$E$3:$AG$238,'Průběžky 2021 - celkové částky'!A18,'Data - Průběžky 2021'!$U$3:$U$237)</f>
        <v>0</v>
      </c>
      <c r="Q18" s="95">
        <f ca="1">SUMIF('Data - Průběžky 2021'!$E$3:$AG$238,'Průběžky 2021 - celkové částky'!A18,'Data - Průběžky 2021'!$V$3:$V$237)</f>
        <v>0</v>
      </c>
      <c r="R18" s="95">
        <f ca="1">SUMIF('Data - Průběžky 2021'!$E$3:$AG$238,'Průběžky 2021 - celkové částky'!A18,'Data - Průběžky 2021'!$W$3:$W$237)+SUMIF('Data - Průběžky 2021'!$E$3:$AG$238,'Průběžky 2021 - celkové částky'!A18,'Data - Průběžky 2021'!$X$3:$X$237)</f>
        <v>436500</v>
      </c>
      <c r="S18" s="95">
        <f ca="1">SUMIF('Data - Průběžky 2021'!$E$3:$AG$238,'Průběžky 2021 - celkové částky'!A18,'Data - Průběžky 2021'!$Z$3:$Z$237)</f>
        <v>0</v>
      </c>
      <c r="T18" s="95">
        <f ca="1">SUMIF('Data - Průběžky 2021'!$E$3:$AG$238,'Průběžky 2021 - celkové částky'!A18,'Data - Průběžky 2021'!$AB$3:$AB$237)</f>
        <v>0</v>
      </c>
      <c r="U18" s="95">
        <f ca="1">SUMIF('Data - Průběžky 2021'!$E$3:$AG$238,'Průběžky 2021 - celkové částky'!A18,'Data - Průběžky 2021'!$AC$3:$AC$237)</f>
        <v>0</v>
      </c>
      <c r="V18" s="92">
        <f ca="1">SUMIF('Data - Průběžky 2021'!$E$3:$AG$238,'Průběžky 2021 - celkové částky'!A18,'Data - Průběžky 2021'!$AA$3:$AA$237)</f>
        <v>0</v>
      </c>
      <c r="W18" s="92">
        <f ca="1">SUMIF('Data - Průběžky 2021'!$E$3:$AG$238,'Průběžky 2021 - celkové částky'!A18,'Data - Průběžky 2021'!$AD$3:$AD$237)+SUMIF('Data - Průběžky 2021'!$E$3:$AG$238,'Průběžky 2021 - celkové částky'!A18,'Data - Průběžky 2021'!$AE$3:$AE$237)+SUMIF('Data - Průběžky 2021'!$E$3:$AG$238,'Průběžky 2021 - celkové částky'!A18,'Data - Průběžky 2021'!$AF$3:$AF$237)+SUMIF('Data - Průběžky 2021'!$E$3:$AG$238,'Průběžky 2021 - celkové částky'!A18,'Data - Průběžky 2021'!$AG$3:$AG$237)</f>
        <v>5000</v>
      </c>
    </row>
    <row r="19" spans="1:23" x14ac:dyDescent="0.15">
      <c r="A19" s="92" t="s">
        <v>322</v>
      </c>
      <c r="B19" s="95">
        <f ca="1">SUMIF('Data - Průběžky 2021'!$E$3:$J$238,'Průběžky 2021 - celkové částky'!A19,'Data - Průběžky 2021'!$J$3:$J$238)</f>
        <v>1481452</v>
      </c>
      <c r="D19" s="92">
        <v>2.44</v>
      </c>
      <c r="E19" s="95"/>
      <c r="F19" s="95">
        <f t="shared" ca="1" si="0"/>
        <v>607152.4590163934</v>
      </c>
      <c r="G19" s="95"/>
      <c r="H19" s="95">
        <f t="shared" ca="1" si="1"/>
        <v>50596.038251366117</v>
      </c>
      <c r="J19" s="95">
        <f ca="1">SUMIF('Data - Průběžky 2021'!$E$3:$AG$238,'Průběžky 2021 - celkové částky'!A19,'Data - Průběžky 2021'!$L$3:$L$237)</f>
        <v>1331000</v>
      </c>
      <c r="K19" s="95">
        <v>0</v>
      </c>
      <c r="L19" s="95">
        <f ca="1">SUMIF('Data - Průběžky 2021'!$E$3:$N$238,'Průběžky 2021 - celkové částky'!A19,'Data - Průběžky 2021'!$N$3:$N$238)</f>
        <v>52000</v>
      </c>
      <c r="M19" s="95">
        <f ca="1">SUMIF('Data - Průběžky 2021'!$E$3:$R$238,'Průběžky 2021 - celkové částky'!A19,'Data - Průběžky 2021'!$O$3:$O$238)+SUMIF('Data - Průběžky 2021'!$E$3:$R$238,'Průběžky 2021 - celkové částky'!A19,'Data - Průběžky 2021'!$P$3:$P$238)+SUMIF('Data - Průběžky 2021'!$E$3:$R$238,'Průběžky 2021 - celkové částky'!A19,'Data - Průběžky 2021'!$Q$3:$Q$238)+SUMIF('Data - Průběžky 2021'!$E$3:$R$238,'Průběžky 2021 - celkové částky'!A19,'Data - Průběžky 2021'!$R$3:$R$238)</f>
        <v>0</v>
      </c>
      <c r="N19" s="95">
        <f ca="1">SUMIF('Data - Průběžky 2021'!$E$3:$AG$238,'Průběžky 2021 - celkové částky'!A19,'Data - Průběžky 2021'!$S$3:$S$237)</f>
        <v>98452</v>
      </c>
      <c r="O19" s="95">
        <f ca="1">SUMIF('Data - Průběžky 2021'!$E$3:$AG$238,'Průběžky 2021 - celkové částky'!A19,'Data - Průběžky 2021'!$T$3:$T$237)</f>
        <v>0</v>
      </c>
      <c r="P19" s="95">
        <f ca="1">SUMIF('Data - Průběžky 2021'!$E$3:$AG$238,'Průběžky 2021 - celkové částky'!A19,'Data - Průběžky 2021'!$U$3:$U$237)</f>
        <v>0</v>
      </c>
      <c r="Q19" s="95">
        <f ca="1">SUMIF('Data - Průběžky 2021'!$E$3:$AG$238,'Průběžky 2021 - celkové částky'!A19,'Data - Průběžky 2021'!$V$3:$V$237)</f>
        <v>0</v>
      </c>
      <c r="R19" s="95">
        <f ca="1">SUMIF('Data - Průběžky 2021'!$E$3:$AG$238,'Průběžky 2021 - celkové částky'!A19,'Data - Průběžky 2021'!$W$3:$W$237)+SUMIF('Data - Průběžky 2021'!$E$3:$AG$238,'Průběžky 2021 - celkové částky'!A19,'Data - Průběžky 2021'!$X$3:$X$237)</f>
        <v>0</v>
      </c>
      <c r="S19" s="95">
        <f ca="1">SUMIF('Data - Průběžky 2021'!$E$3:$AG$238,'Průběžky 2021 - celkové částky'!A19,'Data - Průběžky 2021'!$Z$3:$Z$237)</f>
        <v>0</v>
      </c>
      <c r="T19" s="95">
        <f ca="1">SUMIF('Data - Průběžky 2021'!$E$3:$AG$238,'Průběžky 2021 - celkové částky'!A19,'Data - Průběžky 2021'!$AB$3:$AB$237)</f>
        <v>0</v>
      </c>
      <c r="U19" s="95">
        <f ca="1">SUMIF('Data - Průběžky 2021'!$E$3:$AG$238,'Průběžky 2021 - celkové částky'!A19,'Data - Průběžky 2021'!$AC$3:$AC$237)</f>
        <v>0</v>
      </c>
      <c r="V19" s="92">
        <f ca="1">SUMIF('Data - Průběžky 2021'!$E$3:$AG$238,'Průběžky 2021 - celkové částky'!A19,'Data - Průběžky 2021'!$AA$3:$AA$237)</f>
        <v>0</v>
      </c>
      <c r="W19" s="92">
        <f ca="1">SUMIF('Data - Průběžky 2021'!$E$3:$AG$238,'Průběžky 2021 - celkové částky'!A19,'Data - Průběžky 2021'!$AD$3:$AD$237)+SUMIF('Data - Průběžky 2021'!$E$3:$AG$238,'Průběžky 2021 - celkové částky'!A19,'Data - Průběžky 2021'!$AE$3:$AE$237)+SUMIF('Data - Průběžky 2021'!$E$3:$AG$238,'Průběžky 2021 - celkové částky'!A19,'Data - Průběžky 2021'!$AF$3:$AF$237)+SUMIF('Data - Průběžky 2021'!$E$3:$AG$238,'Průběžky 2021 - celkové částky'!A19,'Data - Průběžky 2021'!$AG$3:$AG$237)</f>
        <v>0</v>
      </c>
    </row>
    <row r="20" spans="1:23" x14ac:dyDescent="0.15">
      <c r="A20" s="92" t="s">
        <v>364</v>
      </c>
      <c r="B20" s="95">
        <f ca="1">SUMIF('Data - Průběžky 2021'!$E$3:$J$238,'Průběžky 2021 - celkové částky'!A20,'Data - Průběžky 2021'!$J$3:$J$238)</f>
        <v>23647877.690000001</v>
      </c>
      <c r="C20" s="92">
        <v>223</v>
      </c>
      <c r="D20" s="92">
        <v>49.35</v>
      </c>
      <c r="E20" s="95">
        <f ca="1">B20/C20</f>
        <v>106044.29457399104</v>
      </c>
      <c r="F20" s="95"/>
      <c r="G20" s="95">
        <f ca="1">E20/12</f>
        <v>8837.0245478325869</v>
      </c>
      <c r="H20" s="95"/>
      <c r="J20" s="95">
        <f ca="1">SUMIF('Data - Průběžky 2021'!$E$3:$AG$238,'Průběžky 2021 - celkové částky'!A20,'Data - Průběžky 2021'!$L$3:$L$237)</f>
        <v>15154000</v>
      </c>
      <c r="K20" s="95">
        <v>0</v>
      </c>
      <c r="L20" s="95">
        <f ca="1">SUMIF('Data - Průběžky 2021'!$E$3:$N$238,'Průběžky 2021 - celkové částky'!A20,'Data - Průběžky 2021'!$N$3:$N$238)</f>
        <v>463000</v>
      </c>
      <c r="M20" s="95">
        <f ca="1">SUMIF('Data - Průběžky 2021'!$E$3:$R$238,'Průběžky 2021 - celkové částky'!A20,'Data - Průběžky 2021'!$O$3:$O$238)+SUMIF('Data - Průběžky 2021'!$E$3:$R$238,'Průběžky 2021 - celkové částky'!A20,'Data - Průběžky 2021'!$P$3:$P$238)+SUMIF('Data - Průběžky 2021'!$E$3:$R$238,'Průběžky 2021 - celkové částky'!A20,'Data - Průběžky 2021'!$Q$3:$Q$238)+SUMIF('Data - Průběžky 2021'!$E$3:$R$238,'Průběžky 2021 - celkové částky'!A20,'Data - Průběžky 2021'!$R$3:$R$238)</f>
        <v>0</v>
      </c>
      <c r="N20" s="95">
        <f ca="1">SUMIF('Data - Průběžky 2021'!$E$3:$AG$238,'Průběžky 2021 - celkové částky'!A20,'Data - Průběžky 2021'!$S$3:$S$237)</f>
        <v>1873938</v>
      </c>
      <c r="O20" s="95">
        <f ca="1">SUMIF('Data - Průběžky 2021'!$E$3:$AG$238,'Průběžky 2021 - celkové částky'!A20,'Data - Průběžky 2021'!$T$3:$T$237)</f>
        <v>2218640</v>
      </c>
      <c r="P20" s="95">
        <f ca="1">SUMIF('Data - Průběžky 2021'!$E$3:$AG$238,'Průběžky 2021 - celkové částky'!A20,'Data - Průběžky 2021'!$U$3:$U$237)</f>
        <v>1963278.75</v>
      </c>
      <c r="Q20" s="95">
        <f ca="1">SUMIF('Data - Průběžky 2021'!$E$3:$AG$238,'Průběžky 2021 - celkové částky'!A20,'Data - Průběžky 2021'!$V$3:$V$237)</f>
        <v>0</v>
      </c>
      <c r="R20" s="95">
        <f ca="1">SUMIF('Data - Průběžky 2021'!$E$3:$AG$238,'Průběžky 2021 - celkové částky'!A20,'Data - Průběžky 2021'!$W$3:$W$237)+SUMIF('Data - Průběžky 2021'!$E$3:$AG$238,'Průběžky 2021 - celkové částky'!A20,'Data - Průběžky 2021'!$X$3:$X$237)</f>
        <v>50252</v>
      </c>
      <c r="S20" s="95">
        <f ca="1">SUMIF('Data - Průběžky 2021'!$E$3:$AG$238,'Průběžky 2021 - celkové částky'!A20,'Data - Průběžky 2021'!$Z$3:$Z$237)</f>
        <v>1219661</v>
      </c>
      <c r="T20" s="95">
        <f ca="1">SUMIF('Data - Průběžky 2021'!$E$3:$AG$238,'Průběžky 2021 - celkové částky'!A20,'Data - Průběžky 2021'!$AB$3:$AB$237)</f>
        <v>0</v>
      </c>
      <c r="U20" s="95">
        <f ca="1">SUMIF('Data - Průběžky 2021'!$E$3:$AG$238,'Průběžky 2021 - celkové částky'!A20,'Data - Průběžky 2021'!$AC$3:$AC$237)</f>
        <v>0</v>
      </c>
      <c r="V20" s="92">
        <f ca="1">SUMIF('Data - Průběžky 2021'!$E$3:$AG$238,'Průběžky 2021 - celkové částky'!A20,'Data - Průběžky 2021'!$AA$3:$AA$237)</f>
        <v>187993</v>
      </c>
      <c r="W20" s="92">
        <f ca="1">SUMIF('Data - Průběžky 2021'!$E$3:$AG$238,'Průběžky 2021 - celkové částky'!A20,'Data - Průběžky 2021'!$AD$3:$AD$237)+SUMIF('Data - Průběžky 2021'!$E$3:$AG$238,'Průběžky 2021 - celkové částky'!A20,'Data - Průběžky 2021'!$AE$3:$AE$237)+SUMIF('Data - Průběžky 2021'!$E$3:$AG$238,'Průběžky 2021 - celkové částky'!A20,'Data - Průběžky 2021'!$AF$3:$AF$237)+SUMIF('Data - Průběžky 2021'!$E$3:$AG$238,'Průběžky 2021 - celkové částky'!A20,'Data - Průběžky 2021'!$AG$3:$AG$237)</f>
        <v>517114.94</v>
      </c>
    </row>
    <row r="21" spans="1:23" x14ac:dyDescent="0.15">
      <c r="A21" s="92" t="s">
        <v>406</v>
      </c>
      <c r="B21" s="95">
        <f ca="1">SUMIF('Data - Průběžky 2021'!$E$3:$J$238,'Průběžky 2021 - celkové částky'!A21,'Data - Průběžky 2021'!$J$3:$J$238)</f>
        <v>3478517</v>
      </c>
      <c r="C21" s="92">
        <v>15</v>
      </c>
      <c r="D21" s="92">
        <v>5.59</v>
      </c>
      <c r="E21" s="95">
        <f ca="1">B21/C21</f>
        <v>231901.13333333333</v>
      </c>
      <c r="F21" s="95"/>
      <c r="G21" s="95">
        <f ca="1">E21/12</f>
        <v>19325.094444444443</v>
      </c>
      <c r="H21" s="95"/>
      <c r="J21" s="95">
        <f ca="1">SUMIF('Data - Průběžky 2021'!$E$3:$AG$238,'Průběžky 2021 - celkové částky'!A21,'Data - Průběžky 2021'!$L$3:$L$237)</f>
        <v>2776000</v>
      </c>
      <c r="K21" s="95">
        <v>0</v>
      </c>
      <c r="L21" s="95">
        <f ca="1">SUMIF('Data - Průběžky 2021'!$E$3:$N$238,'Průběžky 2021 - celkové částky'!A21,'Data - Průběžky 2021'!$N$3:$N$238)</f>
        <v>87000</v>
      </c>
      <c r="M21" s="95">
        <f ca="1">SUMIF('Data - Průběžky 2021'!$E$3:$R$238,'Průběžky 2021 - celkové částky'!A21,'Data - Průběžky 2021'!$O$3:$O$238)+SUMIF('Data - Průběžky 2021'!$E$3:$R$238,'Průběžky 2021 - celkové částky'!A21,'Data - Průběžky 2021'!$P$3:$P$238)+SUMIF('Data - Průběžky 2021'!$E$3:$R$238,'Průběžky 2021 - celkové částky'!A21,'Data - Průběžky 2021'!$Q$3:$Q$238)+SUMIF('Data - Průběžky 2021'!$E$3:$R$238,'Průběžky 2021 - celkové částky'!A21,'Data - Průběžky 2021'!$R$3:$R$238)</f>
        <v>0</v>
      </c>
      <c r="N21" s="95">
        <f ca="1">SUMIF('Data - Průběžky 2021'!$E$3:$AG$238,'Průběžky 2021 - celkové částky'!A21,'Data - Průběžky 2021'!$S$3:$S$237)</f>
        <v>280517</v>
      </c>
      <c r="O21" s="95">
        <f ca="1">SUMIF('Data - Průběžky 2021'!$E$3:$AG$238,'Průběžky 2021 - celkové částky'!A21,'Data - Průběžky 2021'!$T$3:$T$237)</f>
        <v>0</v>
      </c>
      <c r="P21" s="95">
        <f ca="1">SUMIF('Data - Průběžky 2021'!$E$3:$AG$238,'Průběžky 2021 - celkové částky'!A21,'Data - Průběžky 2021'!$U$3:$U$237)</f>
        <v>0</v>
      </c>
      <c r="Q21" s="95">
        <f ca="1">SUMIF('Data - Průběžky 2021'!$E$3:$AG$238,'Průběžky 2021 - celkové částky'!A21,'Data - Průběžky 2021'!$V$3:$V$237)</f>
        <v>0</v>
      </c>
      <c r="R21" s="95">
        <f ca="1">SUMIF('Data - Průběžky 2021'!$E$3:$AG$238,'Průběžky 2021 - celkové částky'!A21,'Data - Průběžky 2021'!$W$3:$W$237)+SUMIF('Data - Průběžky 2021'!$E$3:$AG$238,'Průběžky 2021 - celkové částky'!A21,'Data - Průběžky 2021'!$X$3:$X$237)</f>
        <v>0</v>
      </c>
      <c r="S21" s="95">
        <f ca="1">SUMIF('Data - Průběžky 2021'!$E$3:$AG$238,'Průběžky 2021 - celkové částky'!A21,'Data - Průběžky 2021'!$Z$3:$Z$237)</f>
        <v>106000</v>
      </c>
      <c r="T21" s="95">
        <f ca="1">SUMIF('Data - Průběžky 2021'!$E$3:$AG$238,'Průběžky 2021 - celkové částky'!A21,'Data - Průběžky 2021'!$AB$3:$AB$237)</f>
        <v>0</v>
      </c>
      <c r="U21" s="95">
        <f ca="1">SUMIF('Data - Průběžky 2021'!$E$3:$AG$238,'Průběžky 2021 - celkové částky'!A21,'Data - Průběžky 2021'!$AC$3:$AC$237)</f>
        <v>0</v>
      </c>
      <c r="V21" s="92">
        <f ca="1">SUMIF('Data - Průběžky 2021'!$E$3:$AG$238,'Průběžky 2021 - celkové částky'!A21,'Data - Průběžky 2021'!$AA$3:$AA$237)</f>
        <v>0</v>
      </c>
      <c r="W21" s="92">
        <f ca="1">SUMIF('Data - Průběžky 2021'!$E$3:$AG$238,'Průběžky 2021 - celkové částky'!A21,'Data - Průběžky 2021'!$AD$3:$AD$237)+SUMIF('Data - Průběžky 2021'!$E$3:$AG$238,'Průběžky 2021 - celkové částky'!A21,'Data - Průběžky 2021'!$AE$3:$AE$237)+SUMIF('Data - Průběžky 2021'!$E$3:$AG$238,'Průběžky 2021 - celkové částky'!A21,'Data - Průběžky 2021'!$AF$3:$AF$237)+SUMIF('Data - Průběžky 2021'!$E$3:$AG$238,'Průběžky 2021 - celkové částky'!A21,'Data - Průběžky 2021'!$AG$3:$AG$237)</f>
        <v>229000</v>
      </c>
    </row>
    <row r="22" spans="1:23" x14ac:dyDescent="0.15">
      <c r="A22" s="92" t="s">
        <v>407</v>
      </c>
      <c r="B22" s="95">
        <f ca="1">SUMIF('Data - Průběžky 2021'!$E$3:$J$238,'Průběžky 2021 - celkové částky'!A22,'Data - Průběžky 2021'!$J$3:$J$238)</f>
        <v>7571000</v>
      </c>
      <c r="D22" s="92">
        <v>8.65</v>
      </c>
      <c r="E22" s="95"/>
      <c r="F22" s="95">
        <f t="shared" ca="1" si="0"/>
        <v>875260.11560693639</v>
      </c>
      <c r="G22" s="95"/>
      <c r="H22" s="95">
        <f t="shared" ca="1" si="1"/>
        <v>72938.342967244695</v>
      </c>
      <c r="J22" s="95">
        <f ca="1">SUMIF('Data - Průběžky 2021'!$E$3:$AG$238,'Průběžky 2021 - celkové částky'!A22,'Data - Průběžky 2021'!$L$3:$L$237)</f>
        <v>3702000</v>
      </c>
      <c r="K22" s="95">
        <v>0</v>
      </c>
      <c r="L22" s="95">
        <f ca="1">SUMIF('Data - Průběžky 2021'!$E$3:$N$238,'Průběžky 2021 - celkové částky'!A22,'Data - Průběžky 2021'!$N$3:$N$238)</f>
        <v>1375000</v>
      </c>
      <c r="M22" s="95">
        <f ca="1">SUMIF('Data - Průběžky 2021'!$E$3:$R$238,'Průběžky 2021 - celkové částky'!A22,'Data - Průběžky 2021'!$O$3:$O$238)+SUMIF('Data - Průběžky 2021'!$E$3:$R$238,'Průběžky 2021 - celkové částky'!A22,'Data - Průběžky 2021'!$P$3:$P$238)+SUMIF('Data - Průběžky 2021'!$E$3:$R$238,'Průběžky 2021 - celkové částky'!A22,'Data - Průběžky 2021'!$Q$3:$Q$238)+SUMIF('Data - Průběžky 2021'!$E$3:$R$238,'Průběžky 2021 - celkové částky'!A22,'Data - Průběžky 2021'!$R$3:$R$238)</f>
        <v>0</v>
      </c>
      <c r="N22" s="95">
        <f ca="1">SUMIF('Data - Průběžky 2021'!$E$3:$AG$238,'Průběžky 2021 - celkové částky'!A22,'Data - Průběžky 2021'!$S$3:$S$237)</f>
        <v>300000</v>
      </c>
      <c r="O22" s="95">
        <f ca="1">SUMIF('Data - Průběžky 2021'!$E$3:$AG$238,'Průběžky 2021 - celkové částky'!A22,'Data - Průběžky 2021'!$T$3:$T$237)</f>
        <v>0</v>
      </c>
      <c r="P22" s="95">
        <f ca="1">SUMIF('Data - Průběžky 2021'!$E$3:$AG$238,'Průběžky 2021 - celkové částky'!A22,'Data - Průběžky 2021'!$U$3:$U$237)</f>
        <v>0</v>
      </c>
      <c r="Q22" s="95">
        <f ca="1">SUMIF('Data - Průběžky 2021'!$E$3:$AG$238,'Průběžky 2021 - celkové částky'!A22,'Data - Průběžky 2021'!$V$3:$V$237)</f>
        <v>0</v>
      </c>
      <c r="R22" s="95">
        <f ca="1">SUMIF('Data - Průběžky 2021'!$E$3:$AG$238,'Průběžky 2021 - celkové částky'!A22,'Data - Průběžky 2021'!$W$3:$W$237)+SUMIF('Data - Průběžky 2021'!$E$3:$AG$238,'Průběžky 2021 - celkové částky'!A22,'Data - Průběžky 2021'!$X$3:$X$237)</f>
        <v>2194000</v>
      </c>
      <c r="S22" s="95">
        <f ca="1">SUMIF('Data - Průběžky 2021'!$E$3:$AG$238,'Průběžky 2021 - celkové částky'!A22,'Data - Průběžky 2021'!$Z$3:$Z$237)</f>
        <v>0</v>
      </c>
      <c r="T22" s="95">
        <f ca="1">SUMIF('Data - Průběžky 2021'!$E$3:$AG$238,'Průběžky 2021 - celkové částky'!A22,'Data - Průběžky 2021'!$AB$3:$AB$237)</f>
        <v>0</v>
      </c>
      <c r="U22" s="95">
        <f ca="1">SUMIF('Data - Průběžky 2021'!$E$3:$AG$238,'Průběžky 2021 - celkové částky'!A22,'Data - Průběžky 2021'!$AC$3:$AC$237)</f>
        <v>0</v>
      </c>
      <c r="V22" s="92">
        <f ca="1">SUMIF('Data - Průběžky 2021'!$E$3:$AG$238,'Průběžky 2021 - celkové částky'!A22,'Data - Průběžky 2021'!$AA$3:$AA$237)</f>
        <v>0</v>
      </c>
      <c r="W22" s="92">
        <f ca="1">SUMIF('Data - Průběžky 2021'!$E$3:$AG$238,'Průběžky 2021 - celkové částky'!A22,'Data - Průběžky 2021'!$AD$3:$AD$237)+SUMIF('Data - Průběžky 2021'!$E$3:$AG$238,'Průběžky 2021 - celkové částky'!A22,'Data - Průběžky 2021'!$AE$3:$AE$237)+SUMIF('Data - Průběžky 2021'!$E$3:$AG$238,'Průběžky 2021 - celkové částky'!A22,'Data - Průběžky 2021'!$AF$3:$AF$237)+SUMIF('Data - Průběžky 2021'!$E$3:$AG$238,'Průběžky 2021 - celkové částky'!A22,'Data - Průběžky 2021'!$AG$3:$AG$237)</f>
        <v>0</v>
      </c>
    </row>
    <row r="23" spans="1:23" x14ac:dyDescent="0.15">
      <c r="A23" s="92" t="s">
        <v>305</v>
      </c>
      <c r="B23" s="95">
        <f ca="1">SUMIF('Data - Průběžky 2021'!$E$3:$J$238,'Průběžky 2021 - celkové částky'!A23,'Data - Průběžky 2021'!$J$3:$J$238)</f>
        <v>2516553</v>
      </c>
      <c r="D23" s="92">
        <v>2.2000000000000002</v>
      </c>
      <c r="E23" s="95"/>
      <c r="F23" s="95">
        <f t="shared" ca="1" si="0"/>
        <v>1143887.7272727273</v>
      </c>
      <c r="G23" s="95"/>
      <c r="H23" s="95">
        <f t="shared" ca="1" si="1"/>
        <v>95323.977272727279</v>
      </c>
      <c r="J23" s="95">
        <f ca="1">SUMIF('Data - Průběžky 2021'!$E$3:$AG$238,'Průběžky 2021 - celkové částky'!A23,'Data - Průběžky 2021'!$L$3:$L$237)</f>
        <v>1568000</v>
      </c>
      <c r="K23" s="95">
        <v>878553</v>
      </c>
      <c r="L23" s="95">
        <f ca="1">SUMIF('Data - Průběžky 2021'!$E$3:$N$238,'Průběžky 2021 - celkové částky'!A23,'Data - Průběžky 2021'!$N$3:$N$238)</f>
        <v>0</v>
      </c>
      <c r="M23" s="95">
        <f ca="1">SUMIF('Data - Průběžky 2021'!$E$3:$R$238,'Průběžky 2021 - celkové částky'!A23,'Data - Průběžky 2021'!$O$3:$O$238)+SUMIF('Data - Průběžky 2021'!$E$3:$R$238,'Průběžky 2021 - celkové částky'!A23,'Data - Průběžky 2021'!$P$3:$P$238)+SUMIF('Data - Průběžky 2021'!$E$3:$R$238,'Průběžky 2021 - celkové částky'!A23,'Data - Průběžky 2021'!$Q$3:$Q$238)+SUMIF('Data - Průběžky 2021'!$E$3:$R$238,'Průběžky 2021 - celkové částky'!A23,'Data - Průběžky 2021'!$R$3:$R$238)</f>
        <v>0</v>
      </c>
      <c r="N23" s="95">
        <f ca="1">SUMIF('Data - Průběžky 2021'!$E$3:$AG$238,'Průběžky 2021 - celkové částky'!A23,'Data - Průběžky 2021'!$S$3:$S$237)</f>
        <v>0</v>
      </c>
      <c r="O23" s="95">
        <f ca="1">SUMIF('Data - Průběžky 2021'!$E$3:$AG$238,'Průběžky 2021 - celkové částky'!A23,'Data - Průběžky 2021'!$T$3:$T$237)</f>
        <v>0</v>
      </c>
      <c r="P23" s="95">
        <f ca="1">SUMIF('Data - Průběžky 2021'!$E$3:$AG$238,'Průběžky 2021 - celkové částky'!A23,'Data - Průběžky 2021'!$U$3:$U$237)</f>
        <v>0</v>
      </c>
      <c r="Q23" s="95">
        <f ca="1">SUMIF('Data - Průběžky 2021'!$E$3:$AG$238,'Průběžky 2021 - celkové částky'!A23,'Data - Průběžky 2021'!$V$3:$V$237)</f>
        <v>0</v>
      </c>
      <c r="R23" s="95">
        <f ca="1">SUMIF('Data - Průběžky 2021'!$E$3:$AG$238,'Průběžky 2021 - celkové částky'!A23,'Data - Průběžky 2021'!$W$3:$W$237)+SUMIF('Data - Průběžky 2021'!$E$3:$AG$238,'Průběžky 2021 - celkové částky'!A23,'Data - Průběžky 2021'!$X$3:$X$237)</f>
        <v>0</v>
      </c>
      <c r="S23" s="95">
        <f ca="1">SUMIF('Data - Průběžky 2021'!$E$3:$AG$238,'Průběžky 2021 - celkové částky'!A23,'Data - Průběžky 2021'!$Z$3:$Z$237)</f>
        <v>0</v>
      </c>
      <c r="T23" s="95">
        <f ca="1">SUMIF('Data - Průběžky 2021'!$E$3:$AG$238,'Průběžky 2021 - celkové částky'!A23,'Data - Průběžky 2021'!$AB$3:$AB$237)</f>
        <v>0</v>
      </c>
      <c r="U23" s="95">
        <f ca="1">SUMIF('Data - Průběžky 2021'!$E$3:$AG$238,'Průběžky 2021 - celkové částky'!A23,'Data - Průběžky 2021'!$AC$3:$AC$237)</f>
        <v>0</v>
      </c>
      <c r="V23" s="92">
        <f ca="1">SUMIF('Data - Průběžky 2021'!$E$3:$AG$238,'Průběžky 2021 - celkové částky'!A23,'Data - Průběžky 2021'!$AA$3:$AA$237)</f>
        <v>0</v>
      </c>
      <c r="W23" s="92">
        <f ca="1">SUMIF('Data - Průběžky 2021'!$E$3:$AG$238,'Průběžky 2021 - celkové částky'!A23,'Data - Průběžky 2021'!$AD$3:$AD$237)+SUMIF('Data - Průběžky 2021'!$E$3:$AG$238,'Průběžky 2021 - celkové částky'!A23,'Data - Průběžky 2021'!$AE$3:$AE$237)+SUMIF('Data - Průběžky 2021'!$E$3:$AG$238,'Průběžky 2021 - celkové částky'!A23,'Data - Průběžky 2021'!$AF$3:$AF$237)+SUMIF('Data - Průběžky 2021'!$E$3:$AG$238,'Průběžky 2021 - celkové částky'!A23,'Data - Průběžky 2021'!$AG$3:$AG$237)</f>
        <v>70000</v>
      </c>
    </row>
    <row r="24" spans="1:23" x14ac:dyDescent="0.15">
      <c r="A24" s="92" t="s">
        <v>409</v>
      </c>
      <c r="B24" s="95">
        <f ca="1">SUMIF('Data - Průběžky 2021'!$E$3:$J$238,'Průběžky 2021 - celkové částky'!A24,'Data - Průběžky 2021'!$J$3:$J$238)</f>
        <v>4358232.13</v>
      </c>
      <c r="D24" s="92">
        <v>6.15</v>
      </c>
      <c r="E24" s="95"/>
      <c r="F24" s="95">
        <f t="shared" ca="1" si="0"/>
        <v>708655.63089430891</v>
      </c>
      <c r="G24" s="95"/>
      <c r="H24" s="95">
        <f t="shared" ca="1" si="1"/>
        <v>59054.635907859076</v>
      </c>
      <c r="J24" s="95">
        <f ca="1">SUMIF('Data - Průběžky 2021'!$E$3:$AG$238,'Průběžky 2021 - celkové částky'!A24,'Data - Průběžky 2021'!$L$3:$L$237)</f>
        <v>3476000</v>
      </c>
      <c r="K24" s="95">
        <v>0</v>
      </c>
      <c r="L24" s="95">
        <f ca="1">SUMIF('Data - Průběžky 2021'!$E$3:$N$238,'Průběžky 2021 - celkové částky'!A24,'Data - Průběžky 2021'!$N$3:$N$238)</f>
        <v>132000</v>
      </c>
      <c r="M24" s="95">
        <f ca="1">SUMIF('Data - Průběžky 2021'!$E$3:$R$238,'Průběžky 2021 - celkové částky'!A24,'Data - Průběžky 2021'!$O$3:$O$238)+SUMIF('Data - Průběžky 2021'!$E$3:$R$238,'Průběžky 2021 - celkové částky'!A24,'Data - Průběžky 2021'!$P$3:$P$238)+SUMIF('Data - Průběžky 2021'!$E$3:$R$238,'Průběžky 2021 - celkové částky'!A24,'Data - Průběžky 2021'!$Q$3:$Q$238)+SUMIF('Data - Průběžky 2021'!$E$3:$R$238,'Průběžky 2021 - celkové částky'!A24,'Data - Průběžky 2021'!$R$3:$R$238)</f>
        <v>0</v>
      </c>
      <c r="N24" s="95">
        <f ca="1">SUMIF('Data - Průběžky 2021'!$E$3:$AG$238,'Průběžky 2021 - celkové částky'!A24,'Data - Průběžky 2021'!$S$3:$S$237)</f>
        <v>400000</v>
      </c>
      <c r="O24" s="95">
        <f ca="1">SUMIF('Data - Průběžky 2021'!$E$3:$AG$238,'Průběžky 2021 - celkové částky'!A24,'Data - Průběžky 2021'!$T$3:$T$237)</f>
        <v>0</v>
      </c>
      <c r="P24" s="95">
        <f ca="1">SUMIF('Data - Průběžky 2021'!$E$3:$AG$238,'Průběžky 2021 - celkové částky'!A24,'Data - Průběžky 2021'!$U$3:$U$237)</f>
        <v>0</v>
      </c>
      <c r="Q24" s="95">
        <f ca="1">SUMIF('Data - Průběžky 2021'!$E$3:$AG$238,'Průběžky 2021 - celkové částky'!A24,'Data - Průběžky 2021'!$V$3:$V$237)</f>
        <v>0</v>
      </c>
      <c r="R24" s="95">
        <f ca="1">SUMIF('Data - Průběžky 2021'!$E$3:$AG$238,'Průběžky 2021 - celkové částky'!A24,'Data - Průběžky 2021'!$W$3:$W$237)+SUMIF('Data - Průběžky 2021'!$E$3:$AG$238,'Průběžky 2021 - celkové částky'!A24,'Data - Průběžky 2021'!$X$3:$X$237)</f>
        <v>0</v>
      </c>
      <c r="S24" s="95">
        <f ca="1">SUMIF('Data - Průběžky 2021'!$E$3:$AG$238,'Průběžky 2021 - celkové částky'!A24,'Data - Průběžky 2021'!$Z$3:$Z$237)</f>
        <v>0</v>
      </c>
      <c r="T24" s="95">
        <f ca="1">SUMIF('Data - Průběžky 2021'!$E$3:$AG$238,'Průběžky 2021 - celkové částky'!A24,'Data - Průběžky 2021'!$AB$3:$AB$237)</f>
        <v>0</v>
      </c>
      <c r="U24" s="95">
        <f ca="1">SUMIF('Data - Průběžky 2021'!$E$3:$AG$238,'Průběžky 2021 - celkové částky'!A24,'Data - Průběžky 2021'!$AC$3:$AC$237)</f>
        <v>0</v>
      </c>
      <c r="V24" s="92">
        <f ca="1">SUMIF('Data - Průběžky 2021'!$E$3:$AG$238,'Průběžky 2021 - celkové částky'!A24,'Data - Průběžky 2021'!$AA$3:$AA$237)</f>
        <v>0</v>
      </c>
      <c r="W24" s="92">
        <f ca="1">SUMIF('Data - Průběžky 2021'!$E$3:$AG$238,'Průběžky 2021 - celkové částky'!A24,'Data - Průběžky 2021'!$AD$3:$AD$237)+SUMIF('Data - Průběžky 2021'!$E$3:$AG$238,'Průběžky 2021 - celkové částky'!A24,'Data - Průběžky 2021'!$AE$3:$AE$237)+SUMIF('Data - Průběžky 2021'!$E$3:$AG$238,'Průběžky 2021 - celkové částky'!A24,'Data - Průběžky 2021'!$AF$3:$AF$237)+SUMIF('Data - Průběžky 2021'!$E$3:$AG$238,'Průběžky 2021 - celkové částky'!A24,'Data - Průběžky 2021'!$AG$3:$AG$237)</f>
        <v>350232.13</v>
      </c>
    </row>
    <row r="25" spans="1:23" x14ac:dyDescent="0.15">
      <c r="A25" s="92" t="s">
        <v>330</v>
      </c>
      <c r="B25" s="95">
        <f ca="1">SUMIF('Data - Průběžky 2021'!$E$3:$J$238,'Průběžky 2021 - celkové částky'!A25,'Data - Průběžky 2021'!$J$3:$J$238)</f>
        <v>20255390.5</v>
      </c>
      <c r="D25" s="92">
        <v>39</v>
      </c>
      <c r="E25" s="95"/>
      <c r="F25" s="95">
        <f t="shared" ca="1" si="0"/>
        <v>519368.98717948719</v>
      </c>
      <c r="G25" s="95"/>
      <c r="H25" s="95">
        <f t="shared" ca="1" si="1"/>
        <v>43280.74893162393</v>
      </c>
      <c r="J25" s="95">
        <f ca="1">SUMIF('Data - Průběžky 2021'!$E$3:$AG$238,'Průběžky 2021 - celkové částky'!A25,'Data - Průběžky 2021'!$L$3:$L$237)</f>
        <v>16440000</v>
      </c>
      <c r="K25" s="95">
        <v>0</v>
      </c>
      <c r="L25" s="95">
        <f ca="1">SUMIF('Data - Průběžky 2021'!$E$3:$N$238,'Průběžky 2021 - celkové částky'!A25,'Data - Průběžky 2021'!$N$3:$N$238)</f>
        <v>715000</v>
      </c>
      <c r="M25" s="95">
        <f ca="1">SUMIF('Data - Průběžky 2021'!$E$3:$R$238,'Průběžky 2021 - celkové částky'!A25,'Data - Průběžky 2021'!$O$3:$O$238)+SUMIF('Data - Průběžky 2021'!$E$3:$R$238,'Průběžky 2021 - celkové částky'!A25,'Data - Průběžky 2021'!$P$3:$P$238)+SUMIF('Data - Průběžky 2021'!$E$3:$R$238,'Průběžky 2021 - celkové částky'!A25,'Data - Průběžky 2021'!$Q$3:$Q$238)+SUMIF('Data - Průběžky 2021'!$E$3:$R$238,'Průběžky 2021 - celkové částky'!A25,'Data - Průběžky 2021'!$R$3:$R$238)</f>
        <v>0</v>
      </c>
      <c r="N25" s="95">
        <f ca="1">SUMIF('Data - Průběžky 2021'!$E$3:$AG$238,'Průběžky 2021 - celkové částky'!A25,'Data - Průběžky 2021'!$S$3:$S$237)</f>
        <v>1894534</v>
      </c>
      <c r="O25" s="95">
        <f ca="1">SUMIF('Data - Průběžky 2021'!$E$3:$AG$238,'Průběžky 2021 - celkové částky'!A25,'Data - Průběžky 2021'!$T$3:$T$237)</f>
        <v>0</v>
      </c>
      <c r="P25" s="95">
        <f ca="1">SUMIF('Data - Průběžky 2021'!$E$3:$AG$238,'Průběžky 2021 - celkové částky'!A25,'Data - Průběžky 2021'!$U$3:$U$237)</f>
        <v>0</v>
      </c>
      <c r="Q25" s="95">
        <f ca="1">SUMIF('Data - Průběžky 2021'!$E$3:$AG$238,'Průběžky 2021 - celkové částky'!A25,'Data - Průběžky 2021'!$V$3:$V$237)</f>
        <v>0</v>
      </c>
      <c r="R25" s="95">
        <f ca="1">SUMIF('Data - Průběžky 2021'!$E$3:$AG$238,'Průběžky 2021 - celkové částky'!A25,'Data - Průběžky 2021'!$W$3:$W$237)+SUMIF('Data - Průběžky 2021'!$E$3:$AG$238,'Průběžky 2021 - celkové částky'!A25,'Data - Průběžky 2021'!$X$3:$X$237)</f>
        <v>807545</v>
      </c>
      <c r="S25" s="95">
        <f ca="1">SUMIF('Data - Průběžky 2021'!$E$3:$AG$238,'Průběžky 2021 - celkové částky'!A25,'Data - Průběžky 2021'!$Z$3:$Z$237)</f>
        <v>0</v>
      </c>
      <c r="T25" s="95">
        <f ca="1">SUMIF('Data - Průběžky 2021'!$E$3:$AG$238,'Průběžky 2021 - celkové částky'!A25,'Data - Průběžky 2021'!$AB$3:$AB$237)</f>
        <v>0</v>
      </c>
      <c r="U25" s="95">
        <f ca="1">SUMIF('Data - Průběžky 2021'!$E$3:$AG$238,'Průběžky 2021 - celkové částky'!A25,'Data - Průběžky 2021'!$AC$3:$AC$237)</f>
        <v>0</v>
      </c>
      <c r="V25" s="92">
        <f ca="1">SUMIF('Data - Průběžky 2021'!$E$3:$AG$238,'Průběžky 2021 - celkové částky'!A25,'Data - Průběžky 2021'!$AA$3:$AA$237)</f>
        <v>272327.5</v>
      </c>
      <c r="W25" s="92">
        <f ca="1">SUMIF('Data - Průběžky 2021'!$E$3:$AG$238,'Průběžky 2021 - celkové částky'!A25,'Data - Průběžky 2021'!$AD$3:$AD$237)+SUMIF('Data - Průběžky 2021'!$E$3:$AG$238,'Průběžky 2021 - celkové částky'!A25,'Data - Průběžky 2021'!$AE$3:$AE$237)+SUMIF('Data - Průběžky 2021'!$E$3:$AG$238,'Průběžky 2021 - celkové částky'!A25,'Data - Průběžky 2021'!$AF$3:$AF$237)+SUMIF('Data - Průběžky 2021'!$E$3:$AG$238,'Průběžky 2021 - celkové částky'!A25,'Data - Průběžky 2021'!$AG$3:$AG$237)</f>
        <v>125984</v>
      </c>
    </row>
    <row r="26" spans="1:23" x14ac:dyDescent="0.15">
      <c r="A26" s="92" t="s">
        <v>410</v>
      </c>
      <c r="B26" s="95">
        <f ca="1">SUMIF('Data - Průběžky 2021'!$E$3:$J$238,'Průběžky 2021 - celkové částky'!A26,'Data - Průběžky 2021'!$J$3:$J$238)</f>
        <v>3172795.62</v>
      </c>
      <c r="C26" s="92">
        <v>57</v>
      </c>
      <c r="D26" s="92">
        <v>4.4000000000000004</v>
      </c>
      <c r="E26" s="95"/>
      <c r="F26" s="95">
        <f ca="1">B26/D26</f>
        <v>721089.91363636358</v>
      </c>
      <c r="G26" s="95"/>
      <c r="H26" s="95">
        <f t="shared" ca="1" si="1"/>
        <v>60090.826136363634</v>
      </c>
      <c r="J26" s="95">
        <f ca="1">SUMIF('Data - Průběžky 2021'!$E$3:$AG$238,'Průběžky 2021 - celkové částky'!A26,'Data - Průběžky 2021'!$L$3:$L$237)</f>
        <v>2507000</v>
      </c>
      <c r="K26" s="95">
        <v>0</v>
      </c>
      <c r="L26" s="95">
        <f ca="1">SUMIF('Data - Průběžky 2021'!$E$3:$N$238,'Průběžky 2021 - celkové částky'!A26,'Data - Průběžky 2021'!$N$3:$N$238)</f>
        <v>94000</v>
      </c>
      <c r="M26" s="95">
        <f ca="1">SUMIF('Data - Průběžky 2021'!$E$3:$R$238,'Průběžky 2021 - celkové částky'!A26,'Data - Průběžky 2021'!$O$3:$O$238)+SUMIF('Data - Průběžky 2021'!$E$3:$R$238,'Průběžky 2021 - celkové částky'!A26,'Data - Průběžky 2021'!$P$3:$P$238)+SUMIF('Data - Průběžky 2021'!$E$3:$R$238,'Průběžky 2021 - celkové částky'!A26,'Data - Průběžky 2021'!$Q$3:$Q$238)+SUMIF('Data - Průběžky 2021'!$E$3:$R$238,'Průběžky 2021 - celkové částky'!A26,'Data - Průběžky 2021'!$R$3:$R$238)</f>
        <v>0</v>
      </c>
      <c r="N26" s="95">
        <f ca="1">SUMIF('Data - Průběžky 2021'!$E$3:$AG$238,'Průběžky 2021 - celkové částky'!A26,'Data - Průběžky 2021'!$S$3:$S$237)</f>
        <v>265000</v>
      </c>
      <c r="O26" s="95">
        <f ca="1">SUMIF('Data - Průběžky 2021'!$E$3:$AG$238,'Průběžky 2021 - celkové částky'!A26,'Data - Průběžky 2021'!$T$3:$T$237)</f>
        <v>0</v>
      </c>
      <c r="P26" s="95">
        <f ca="1">SUMIF('Data - Průběžky 2021'!$E$3:$AG$238,'Průběžky 2021 - celkové částky'!A26,'Data - Průběžky 2021'!$U$3:$U$237)</f>
        <v>0</v>
      </c>
      <c r="Q26" s="95">
        <f ca="1">SUMIF('Data - Průběžky 2021'!$E$3:$AG$238,'Průběžky 2021 - celkové částky'!A26,'Data - Průběžky 2021'!$V$3:$V$237)</f>
        <v>0</v>
      </c>
      <c r="R26" s="95">
        <f ca="1">SUMIF('Data - Průběžky 2021'!$E$3:$AG$238,'Průběžky 2021 - celkové částky'!A26,'Data - Průběžky 2021'!$W$3:$W$237)+SUMIF('Data - Průběžky 2021'!$E$3:$AG$238,'Průběžky 2021 - celkové částky'!A26,'Data - Průběžky 2021'!$X$3:$X$237)</f>
        <v>0</v>
      </c>
      <c r="S26" s="95">
        <f ca="1">SUMIF('Data - Průběžky 2021'!$E$3:$AG$238,'Průběžky 2021 - celkové částky'!A26,'Data - Průběžky 2021'!$Z$3:$Z$237)</f>
        <v>277650</v>
      </c>
      <c r="T26" s="95">
        <f ca="1">SUMIF('Data - Průběžky 2021'!$E$3:$AG$238,'Průběžky 2021 - celkové částky'!A26,'Data - Průběžky 2021'!$AB$3:$AB$237)</f>
        <v>0</v>
      </c>
      <c r="U26" s="95">
        <f ca="1">SUMIF('Data - Průběžky 2021'!$E$3:$AG$238,'Průběžky 2021 - celkové částky'!A26,'Data - Průběžky 2021'!$AC$3:$AC$237)</f>
        <v>0</v>
      </c>
      <c r="V26" s="92">
        <f ca="1">SUMIF('Data - Průběžky 2021'!$E$3:$AG$238,'Průběžky 2021 - celkové částky'!A26,'Data - Průběžky 2021'!$AA$3:$AA$237)</f>
        <v>0</v>
      </c>
      <c r="W26" s="92">
        <f ca="1">SUMIF('Data - Průběžky 2021'!$E$3:$AG$238,'Průběžky 2021 - celkové částky'!A26,'Data - Průběžky 2021'!$AD$3:$AD$237)+SUMIF('Data - Průběžky 2021'!$E$3:$AG$238,'Průběžky 2021 - celkové částky'!A26,'Data - Průběžky 2021'!$AE$3:$AE$237)+SUMIF('Data - Průběžky 2021'!$E$3:$AG$238,'Průběžky 2021 - celkové částky'!A26,'Data - Průběžky 2021'!$AF$3:$AF$237)+SUMIF('Data - Průběžky 2021'!$E$3:$AG$238,'Průběžky 2021 - celkové částky'!A26,'Data - Průběžky 2021'!$AG$3:$AG$237)</f>
        <v>29145.62</v>
      </c>
    </row>
    <row r="27" spans="1:23" s="96" customFormat="1" x14ac:dyDescent="0.15">
      <c r="A27" s="96" t="s">
        <v>270</v>
      </c>
      <c r="B27" s="97">
        <f ca="1">SUMIF('Data - Průběžky 2021'!$E$3:$J$238,'Průběžky 2021 - celkové částky'!A27,'Data - Průběžky 2021'!$J$3:$J$238)</f>
        <v>0</v>
      </c>
      <c r="C27" s="96">
        <v>10</v>
      </c>
      <c r="D27" s="96">
        <v>2.4500000000000002</v>
      </c>
      <c r="E27" s="97"/>
      <c r="F27" s="97"/>
      <c r="G27" s="97"/>
      <c r="H27" s="97"/>
      <c r="J27" s="97">
        <f ca="1">SUMIF('Data - Průběžky 2021'!$E$3:$AG$238,'Průběžky 2021 - celkové částky'!A27,'Data - Průběžky 2021'!$L$3:$L$237)</f>
        <v>0</v>
      </c>
      <c r="K27" s="97">
        <v>0</v>
      </c>
      <c r="L27" s="97">
        <f ca="1">SUMIF('Data - Průběžky 2021'!$E$3:$N$238,'Průběžky 2021 - celkové částky'!A27,'Data - Průběžky 2021'!$N$3:$N$238)</f>
        <v>0</v>
      </c>
      <c r="M27" s="97">
        <f ca="1">SUMIF('Data - Průběžky 2021'!$E$3:$R$238,'Průběžky 2021 - celkové částky'!A27,'Data - Průběžky 2021'!$O$3:$O$238)+SUMIF('Data - Průběžky 2021'!$E$3:$R$238,'Průběžky 2021 - celkové částky'!A27,'Data - Průběžky 2021'!$P$3:$P$238)+SUMIF('Data - Průběžky 2021'!$E$3:$R$238,'Průběžky 2021 - celkové částky'!A27,'Data - Průběžky 2021'!$Q$3:$Q$238)+SUMIF('Data - Průběžky 2021'!$E$3:$R$238,'Průběžky 2021 - celkové částky'!A27,'Data - Průběžky 2021'!$R$3:$R$238)</f>
        <v>0</v>
      </c>
      <c r="N27" s="97">
        <f ca="1">SUMIF('Data - Průběžky 2021'!$E$3:$AG$238,'Průběžky 2021 - celkové částky'!A27,'Data - Průběžky 2021'!$S$3:$S$237)</f>
        <v>0</v>
      </c>
      <c r="O27" s="97">
        <f ca="1">SUMIF('Data - Průběžky 2021'!$E$3:$AG$238,'Průběžky 2021 - celkové částky'!A27,'Data - Průběžky 2021'!$T$3:$T$237)</f>
        <v>0</v>
      </c>
      <c r="P27" s="97">
        <f ca="1">SUMIF('Data - Průběžky 2021'!$E$3:$AG$238,'Průběžky 2021 - celkové částky'!A27,'Data - Průběžky 2021'!$U$3:$U$237)</f>
        <v>0</v>
      </c>
      <c r="Q27" s="97">
        <f ca="1">SUMIF('Data - Průběžky 2021'!$E$3:$AG$238,'Průběžky 2021 - celkové částky'!A27,'Data - Průběžky 2021'!$V$3:$V$237)</f>
        <v>0</v>
      </c>
      <c r="R27" s="97">
        <f ca="1">SUMIF('Data - Průběžky 2021'!$E$3:$AG$238,'Průběžky 2021 - celkové částky'!A27,'Data - Průběžky 2021'!$W$3:$W$237)+SUMIF('Data - Průběžky 2021'!$E$3:$AG$238,'Průběžky 2021 - celkové částky'!A27,'Data - Průběžky 2021'!$X$3:$X$237)</f>
        <v>0</v>
      </c>
      <c r="S27" s="97">
        <f ca="1">SUMIF('Data - Průběžky 2021'!$E$3:$AG$238,'Průběžky 2021 - celkové částky'!A27,'Data - Průběžky 2021'!$Z$3:$Z$237)</f>
        <v>0</v>
      </c>
      <c r="T27" s="97">
        <f ca="1">SUMIF('Data - Průběžky 2021'!$E$3:$AG$238,'Průběžky 2021 - celkové částky'!A27,'Data - Průběžky 2021'!$AB$3:$AB$237)</f>
        <v>0</v>
      </c>
      <c r="U27" s="97">
        <f ca="1">SUMIF('Data - Průběžky 2021'!$E$3:$AG$238,'Průběžky 2021 - celkové částky'!A27,'Data - Průběžky 2021'!$AC$3:$AC$237)</f>
        <v>0</v>
      </c>
      <c r="V27" s="96">
        <f ca="1">SUMIF('Data - Průběžky 2021'!$E$3:$AG$238,'Průběžky 2021 - celkové částky'!A27,'Data - Průběžky 2021'!$AA$3:$AA$237)</f>
        <v>0</v>
      </c>
      <c r="W27" s="96">
        <f ca="1">SUMIF('Data - Průběžky 2021'!$E$3:$AG$238,'Průběžky 2021 - celkové částky'!A27,'Data - Průběžky 2021'!$AD$3:$AD$237)+SUMIF('Data - Průběžky 2021'!$E$3:$AG$238,'Průběžky 2021 - celkové částky'!A27,'Data - Průběžky 2021'!$AE$3:$AE$237)+SUMIF('Data - Průběžky 2021'!$E$3:$AG$238,'Průběžky 2021 - celkové částky'!A27,'Data - Průběžky 2021'!$AF$3:$AF$237)+SUMIF('Data - Průběžky 2021'!$E$3:$AG$238,'Průběžky 2021 - celkové částky'!A27,'Data - Průběžky 2021'!$AG$3:$AG$237)</f>
        <v>0</v>
      </c>
    </row>
    <row r="28" spans="1:23" x14ac:dyDescent="0.15">
      <c r="A28" s="92" t="s">
        <v>314</v>
      </c>
      <c r="B28" s="95">
        <f ca="1">SUMIF('Data - Průběžky 2021'!$E$3:$J$238,'Průběžky 2021 - celkové částky'!A28,'Data - Průběžky 2021'!$J$3:$J$238)</f>
        <v>24191320.759999998</v>
      </c>
      <c r="D28" s="92">
        <v>39.798999999999999</v>
      </c>
      <c r="E28" s="95"/>
      <c r="F28" s="95">
        <f t="shared" ca="1" si="0"/>
        <v>607837.40194477246</v>
      </c>
      <c r="G28" s="95"/>
      <c r="H28" s="95">
        <f t="shared" ca="1" si="1"/>
        <v>50653.116828731036</v>
      </c>
      <c r="J28" s="95">
        <f ca="1">SUMIF('Data - Průběžky 2021'!$E$3:$AG$238,'Průběžky 2021 - celkové částky'!A28,'Data - Průběžky 2021'!$L$3:$L$237)</f>
        <v>20148277</v>
      </c>
      <c r="K28" s="95">
        <v>0</v>
      </c>
      <c r="L28" s="95">
        <f ca="1">SUMIF('Data - Průběžky 2021'!$E$3:$N$238,'Průběžky 2021 - celkové částky'!A28,'Data - Průběžky 2021'!$N$3:$N$238)</f>
        <v>621000</v>
      </c>
      <c r="M28" s="95">
        <f ca="1">SUMIF('Data - Průběžky 2021'!$E$3:$R$238,'Průběžky 2021 - celkové částky'!A28,'Data - Průběžky 2021'!$O$3:$O$238)+SUMIF('Data - Průběžky 2021'!$E$3:$R$238,'Průběžky 2021 - celkové částky'!A28,'Data - Průběžky 2021'!$P$3:$P$238)+SUMIF('Data - Průběžky 2021'!$E$3:$R$238,'Průběžky 2021 - celkové částky'!A28,'Data - Průběžky 2021'!$Q$3:$Q$238)+SUMIF('Data - Průběžky 2021'!$E$3:$R$238,'Průběžky 2021 - celkové částky'!A28,'Data - Průběžky 2021'!$R$3:$R$238)</f>
        <v>0</v>
      </c>
      <c r="N28" s="95">
        <f ca="1">SUMIF('Data - Průběžky 2021'!$E$3:$AG$238,'Průběžky 2021 - celkové částky'!A28,'Data - Průběžky 2021'!$S$3:$S$237)</f>
        <v>2816240</v>
      </c>
      <c r="O28" s="95">
        <f ca="1">SUMIF('Data - Průběžky 2021'!$E$3:$AG$238,'Průběžky 2021 - celkové částky'!A28,'Data - Průběžky 2021'!$T$3:$T$237)</f>
        <v>0</v>
      </c>
      <c r="P28" s="95">
        <f ca="1">SUMIF('Data - Průběžky 2021'!$E$3:$AG$238,'Průběžky 2021 - celkové částky'!A28,'Data - Průběžky 2021'!$U$3:$U$237)</f>
        <v>359388.47</v>
      </c>
      <c r="Q28" s="95">
        <f ca="1">SUMIF('Data - Průběžky 2021'!$E$3:$AG$238,'Průběžky 2021 - celkové částky'!A28,'Data - Průběžky 2021'!$V$3:$V$237)</f>
        <v>0</v>
      </c>
      <c r="R28" s="95">
        <f ca="1">SUMIF('Data - Průběžky 2021'!$E$3:$AG$238,'Průběžky 2021 - celkové částky'!A28,'Data - Průběžky 2021'!$W$3:$W$237)+SUMIF('Data - Průběžky 2021'!$E$3:$AG$238,'Průběžky 2021 - celkové částky'!A28,'Data - Průběžky 2021'!$X$3:$X$237)</f>
        <v>144951</v>
      </c>
      <c r="S28" s="95">
        <f ca="1">SUMIF('Data - Průběžky 2021'!$E$3:$AG$238,'Průběžky 2021 - celkové částky'!A28,'Data - Průběžky 2021'!$Z$3:$Z$237)</f>
        <v>0</v>
      </c>
      <c r="T28" s="95">
        <f ca="1">SUMIF('Data - Průběžky 2021'!$E$3:$AG$238,'Průběžky 2021 - celkové částky'!A28,'Data - Průběžky 2021'!$AB$3:$AB$237)</f>
        <v>0</v>
      </c>
      <c r="U28" s="95">
        <f ca="1">SUMIF('Data - Průběžky 2021'!$E$3:$AG$238,'Průběžky 2021 - celkové částky'!A28,'Data - Průběžky 2021'!$AC$3:$AC$237)</f>
        <v>0</v>
      </c>
      <c r="V28" s="92">
        <f ca="1">SUMIF('Data - Průběžky 2021'!$E$3:$AG$238,'Průběžky 2021 - celkové částky'!A28,'Data - Průběžky 2021'!$AA$3:$AA$237)</f>
        <v>38413</v>
      </c>
      <c r="W28" s="92">
        <f ca="1">SUMIF('Data - Průběžky 2021'!$E$3:$AG$238,'Průběžky 2021 - celkové částky'!A28,'Data - Průběžky 2021'!$AD$3:$AD$237)+SUMIF('Data - Průběžky 2021'!$E$3:$AG$238,'Průběžky 2021 - celkové částky'!A28,'Data - Průběžky 2021'!$AE$3:$AE$237)+SUMIF('Data - Průběžky 2021'!$E$3:$AG$238,'Průběžky 2021 - celkové částky'!A28,'Data - Průběžky 2021'!$AF$3:$AF$237)+SUMIF('Data - Průběžky 2021'!$E$3:$AG$238,'Průběžky 2021 - celkové částky'!A28,'Data - Průběžky 2021'!$AG$3:$AG$237)</f>
        <v>63051.29</v>
      </c>
    </row>
    <row r="29" spans="1:23" x14ac:dyDescent="0.15">
      <c r="A29" s="92" t="s">
        <v>308</v>
      </c>
      <c r="B29" s="95">
        <f ca="1">SUMIF('Data - Průběžky 2021'!$E$3:$J$238,'Průběžky 2021 - celkové částky'!A29,'Data - Průběžky 2021'!$J$3:$J$238)</f>
        <v>5246886</v>
      </c>
      <c r="D29" s="92">
        <v>10.95</v>
      </c>
      <c r="E29" s="95"/>
      <c r="F29" s="95">
        <f t="shared" ca="1" si="0"/>
        <v>479167.67123287672</v>
      </c>
      <c r="G29" s="95"/>
      <c r="H29" s="95">
        <f t="shared" ca="1" si="1"/>
        <v>39930.639269406391</v>
      </c>
      <c r="J29" s="95">
        <f ca="1">SUMIF('Data - Průběžky 2021'!$E$3:$AG$238,'Průběžky 2021 - celkové částky'!A29,'Data - Průběžky 2021'!$L$3:$L$237)</f>
        <v>4576000</v>
      </c>
      <c r="K29" s="95">
        <v>0</v>
      </c>
      <c r="L29" s="95">
        <f ca="1">SUMIF('Data - Průběžky 2021'!$E$3:$N$238,'Průběžky 2021 - celkové částky'!A29,'Data - Průběžky 2021'!$N$3:$N$238)</f>
        <v>60000</v>
      </c>
      <c r="M29" s="95">
        <f ca="1">SUMIF('Data - Průběžky 2021'!$E$3:$R$238,'Průběžky 2021 - celkové částky'!A29,'Data - Průběžky 2021'!$O$3:$O$238)+SUMIF('Data - Průběžky 2021'!$E$3:$R$238,'Průběžky 2021 - celkové částky'!A29,'Data - Průběžky 2021'!$P$3:$P$238)+SUMIF('Data - Průběžky 2021'!$E$3:$R$238,'Průběžky 2021 - celkové částky'!A29,'Data - Průběžky 2021'!$Q$3:$Q$238)+SUMIF('Data - Průběžky 2021'!$E$3:$R$238,'Průběžky 2021 - celkové částky'!A29,'Data - Průběžky 2021'!$R$3:$R$238)</f>
        <v>0</v>
      </c>
      <c r="N29" s="95">
        <f ca="1">SUMIF('Data - Průběžky 2021'!$E$3:$AG$238,'Průběžky 2021 - celkové částky'!A29,'Data - Průběžky 2021'!$S$3:$S$237)</f>
        <v>173230</v>
      </c>
      <c r="O29" s="95">
        <f ca="1">SUMIF('Data - Průběžky 2021'!$E$3:$AG$238,'Průběžky 2021 - celkové částky'!A29,'Data - Průběžky 2021'!$T$3:$T$237)</f>
        <v>0</v>
      </c>
      <c r="P29" s="95">
        <f ca="1">SUMIF('Data - Průběžky 2021'!$E$3:$AG$238,'Průběžky 2021 - celkové částky'!A29,'Data - Průběžky 2021'!$U$3:$U$237)</f>
        <v>0</v>
      </c>
      <c r="Q29" s="95">
        <f ca="1">SUMIF('Data - Průběžky 2021'!$E$3:$AG$238,'Průběžky 2021 - celkové částky'!A29,'Data - Průběžky 2021'!$V$3:$V$237)</f>
        <v>0</v>
      </c>
      <c r="R29" s="95">
        <f ca="1">SUMIF('Data - Průběžky 2021'!$E$3:$AG$238,'Průběžky 2021 - celkové částky'!A29,'Data - Průběžky 2021'!$W$3:$W$237)+SUMIF('Data - Průběžky 2021'!$E$3:$AG$238,'Průběžky 2021 - celkové částky'!A29,'Data - Průběžky 2021'!$X$3:$X$237)</f>
        <v>0</v>
      </c>
      <c r="S29" s="95">
        <f ca="1">SUMIF('Data - Průběžky 2021'!$E$3:$AG$238,'Průběžky 2021 - celkové částky'!A29,'Data - Průběžky 2021'!$Z$3:$Z$237)</f>
        <v>0</v>
      </c>
      <c r="T29" s="95">
        <f ca="1">SUMIF('Data - Průběžky 2021'!$E$3:$AG$238,'Průběžky 2021 - celkové částky'!A29,'Data - Průběžky 2021'!$AB$3:$AB$237)</f>
        <v>0</v>
      </c>
      <c r="U29" s="95">
        <f ca="1">SUMIF('Data - Průběžky 2021'!$E$3:$AG$238,'Průběžky 2021 - celkové částky'!A29,'Data - Průběžky 2021'!$AC$3:$AC$237)</f>
        <v>0</v>
      </c>
      <c r="V29" s="92">
        <f ca="1">SUMIF('Data - Průběžky 2021'!$E$3:$AG$238,'Průběžky 2021 - celkové částky'!A29,'Data - Průběžky 2021'!$AA$3:$AA$237)</f>
        <v>120608</v>
      </c>
      <c r="W29" s="92">
        <f ca="1">SUMIF('Data - Průběžky 2021'!$E$3:$AG$238,'Průběžky 2021 - celkové částky'!A29,'Data - Průběžky 2021'!$AD$3:$AD$237)+SUMIF('Data - Průběžky 2021'!$E$3:$AG$238,'Průběžky 2021 - celkové částky'!A29,'Data - Průběžky 2021'!$AE$3:$AE$237)+SUMIF('Data - Průběžky 2021'!$E$3:$AG$238,'Průběžky 2021 - celkové částky'!A29,'Data - Průběžky 2021'!$AF$3:$AF$237)+SUMIF('Data - Průběžky 2021'!$E$3:$AG$238,'Průběžky 2021 - celkové částky'!A29,'Data - Průběžky 2021'!$AG$3:$AG$237)</f>
        <v>317048</v>
      </c>
    </row>
    <row r="30" spans="1:23" x14ac:dyDescent="0.15">
      <c r="A30" s="92" t="s">
        <v>338</v>
      </c>
      <c r="B30" s="95">
        <f ca="1">SUMIF('Data - Průběžky 2021'!$E$3:$J$238,'Průběžky 2021 - celkové částky'!A30,'Data - Průběžky 2021'!$J$3:$J$238)</f>
        <v>15700670</v>
      </c>
      <c r="D30" s="92">
        <v>23.7</v>
      </c>
      <c r="E30" s="95"/>
      <c r="F30" s="95">
        <f t="shared" ca="1" si="0"/>
        <v>662475.52742616041</v>
      </c>
      <c r="G30" s="95"/>
      <c r="H30" s="95">
        <f t="shared" ca="1" si="1"/>
        <v>55206.293952180036</v>
      </c>
      <c r="J30" s="95">
        <f ca="1">SUMIF('Data - Průběžky 2021'!$E$3:$AG$238,'Průběžky 2021 - celkové částky'!A30,'Data - Průběžky 2021'!$L$3:$L$237)</f>
        <v>13086413</v>
      </c>
      <c r="K30" s="95">
        <v>1000000</v>
      </c>
      <c r="L30" s="95">
        <f ca="1">SUMIF('Data - Průběžky 2021'!$E$3:$N$238,'Průběžky 2021 - celkové částky'!A30,'Data - Průběžky 2021'!$N$3:$N$238)</f>
        <v>362000</v>
      </c>
      <c r="M30" s="95">
        <f ca="1">SUMIF('Data - Průběžky 2021'!$E$3:$R$238,'Průběžky 2021 - celkové částky'!A30,'Data - Průběžky 2021'!$O$3:$O$238)+SUMIF('Data - Průběžky 2021'!$E$3:$R$238,'Průběžky 2021 - celkové částky'!A30,'Data - Průběžky 2021'!$P$3:$P$238)+SUMIF('Data - Průběžky 2021'!$E$3:$R$238,'Průběžky 2021 - celkové částky'!A30,'Data - Průběžky 2021'!$Q$3:$Q$238)+SUMIF('Data - Průběžky 2021'!$E$3:$R$238,'Průběžky 2021 - celkové částky'!A30,'Data - Průběžky 2021'!$R$3:$R$238)</f>
        <v>0</v>
      </c>
      <c r="N30" s="95">
        <f ca="1">SUMIF('Data - Průběžky 2021'!$E$3:$AG$238,'Průběžky 2021 - celkové částky'!A30,'Data - Průběžky 2021'!$S$3:$S$237)</f>
        <v>702134</v>
      </c>
      <c r="O30" s="95">
        <f ca="1">SUMIF('Data - Průběžky 2021'!$E$3:$AG$238,'Průběžky 2021 - celkové částky'!A30,'Data - Průběžky 2021'!$T$3:$T$237)</f>
        <v>0</v>
      </c>
      <c r="P30" s="95">
        <f ca="1">SUMIF('Data - Průběžky 2021'!$E$3:$AG$238,'Průběžky 2021 - celkové částky'!A30,'Data - Průběžky 2021'!$U$3:$U$237)</f>
        <v>0</v>
      </c>
      <c r="Q30" s="95">
        <f ca="1">SUMIF('Data - Průběžky 2021'!$E$3:$AG$238,'Průběžky 2021 - celkové částky'!A30,'Data - Průběžky 2021'!$V$3:$V$237)</f>
        <v>282606</v>
      </c>
      <c r="R30" s="95">
        <f ca="1">SUMIF('Data - Průběžky 2021'!$E$3:$AG$238,'Průběžky 2021 - celkové částky'!A30,'Data - Průběžky 2021'!$W$3:$W$237)+SUMIF('Data - Průběžky 2021'!$E$3:$AG$238,'Průběžky 2021 - celkové částky'!A30,'Data - Průběžky 2021'!$X$3:$X$237)</f>
        <v>0</v>
      </c>
      <c r="S30" s="95">
        <f ca="1">SUMIF('Data - Průběžky 2021'!$E$3:$AG$238,'Průběžky 2021 - celkové částky'!A30,'Data - Průběžky 2021'!$Z$3:$Z$237)</f>
        <v>30645</v>
      </c>
      <c r="T30" s="95">
        <f ca="1">SUMIF('Data - Průběžky 2021'!$E$3:$AG$238,'Průběžky 2021 - celkové částky'!A30,'Data - Průběžky 2021'!$AB$3:$AB$237)</f>
        <v>0</v>
      </c>
      <c r="U30" s="95">
        <f ca="1">SUMIF('Data - Průběžky 2021'!$E$3:$AG$238,'Průběžky 2021 - celkové částky'!A30,'Data - Průběžky 2021'!$AC$3:$AC$237)</f>
        <v>0</v>
      </c>
      <c r="V30" s="92">
        <f ca="1">SUMIF('Data - Průběžky 2021'!$E$3:$AG$238,'Průběžky 2021 - celkové částky'!A30,'Data - Průběžky 2021'!$AA$3:$AA$237)</f>
        <v>40800</v>
      </c>
      <c r="W30" s="92">
        <f ca="1">SUMIF('Data - Průběžky 2021'!$E$3:$AG$238,'Průběžky 2021 - celkové částky'!A30,'Data - Průběžky 2021'!$AD$3:$AD$237)+SUMIF('Data - Průběžky 2021'!$E$3:$AG$238,'Průběžky 2021 - celkové částky'!A30,'Data - Průběžky 2021'!$AE$3:$AE$237)+SUMIF('Data - Průběžky 2021'!$E$3:$AG$238,'Průběžky 2021 - celkové částky'!A30,'Data - Průběžky 2021'!$AF$3:$AF$237)+SUMIF('Data - Průběžky 2021'!$E$3:$AG$238,'Průběžky 2021 - celkové částky'!A30,'Data - Průběžky 2021'!$AG$3:$AG$237)</f>
        <v>196072</v>
      </c>
    </row>
    <row r="31" spans="1:23" s="96" customFormat="1" x14ac:dyDescent="0.15">
      <c r="A31" s="96" t="s">
        <v>277</v>
      </c>
      <c r="B31" s="97">
        <f ca="1">SUMIF('Data - Průběžky 2021'!$E$3:$J$238,'Průběžky 2021 - celkové částky'!A31,'Data - Průběžky 2021'!$J$3:$J$238)</f>
        <v>0</v>
      </c>
      <c r="C31" s="96">
        <v>15</v>
      </c>
      <c r="D31" s="96">
        <v>8.35</v>
      </c>
      <c r="E31" s="97"/>
      <c r="F31" s="97"/>
      <c r="G31" s="97"/>
      <c r="H31" s="97"/>
      <c r="J31" s="97">
        <f ca="1">SUMIF('Data - Průběžky 2021'!$E$3:$AG$238,'Průběžky 2021 - celkové částky'!A31,'Data - Průběžky 2021'!$L$3:$L$237)</f>
        <v>0</v>
      </c>
      <c r="K31" s="97">
        <v>0</v>
      </c>
      <c r="L31" s="97">
        <f ca="1">SUMIF('Data - Průběžky 2021'!$E$3:$N$238,'Průběžky 2021 - celkové částky'!A31,'Data - Průběžky 2021'!$N$3:$N$238)</f>
        <v>0</v>
      </c>
      <c r="M31" s="97">
        <f ca="1">SUMIF('Data - Průběžky 2021'!$E$3:$R$238,'Průběžky 2021 - celkové částky'!A31,'Data - Průběžky 2021'!$O$3:$O$238)+SUMIF('Data - Průběžky 2021'!$E$3:$R$238,'Průběžky 2021 - celkové částky'!A31,'Data - Průběžky 2021'!$P$3:$P$238)+SUMIF('Data - Průběžky 2021'!$E$3:$R$238,'Průběžky 2021 - celkové částky'!A31,'Data - Průběžky 2021'!$Q$3:$Q$238)+SUMIF('Data - Průběžky 2021'!$E$3:$R$238,'Průběžky 2021 - celkové částky'!A31,'Data - Průběžky 2021'!$R$3:$R$238)</f>
        <v>0</v>
      </c>
      <c r="N31" s="97">
        <f ca="1">SUMIF('Data - Průběžky 2021'!$E$3:$AG$238,'Průběžky 2021 - celkové částky'!A31,'Data - Průběžky 2021'!$S$3:$S$237)</f>
        <v>0</v>
      </c>
      <c r="O31" s="97">
        <f ca="1">SUMIF('Data - Průběžky 2021'!$E$3:$AG$238,'Průběžky 2021 - celkové částky'!A31,'Data - Průběžky 2021'!$T$3:$T$237)</f>
        <v>0</v>
      </c>
      <c r="P31" s="97">
        <f ca="1">SUMIF('Data - Průběžky 2021'!$E$3:$AG$238,'Průběžky 2021 - celkové částky'!A31,'Data - Průběžky 2021'!$U$3:$U$237)</f>
        <v>0</v>
      </c>
      <c r="Q31" s="97">
        <f ca="1">SUMIF('Data - Průběžky 2021'!$E$3:$AG$238,'Průběžky 2021 - celkové částky'!A31,'Data - Průběžky 2021'!$V$3:$V$237)</f>
        <v>0</v>
      </c>
      <c r="R31" s="97">
        <f ca="1">SUMIF('Data - Průběžky 2021'!$E$3:$AG$238,'Průběžky 2021 - celkové částky'!A31,'Data - Průběžky 2021'!$W$3:$W$237)+SUMIF('Data - Průběžky 2021'!$E$3:$AG$238,'Průběžky 2021 - celkové částky'!A31,'Data - Průběžky 2021'!$X$3:$X$237)</f>
        <v>0</v>
      </c>
      <c r="S31" s="97">
        <f ca="1">SUMIF('Data - Průběžky 2021'!$E$3:$AG$238,'Průběžky 2021 - celkové částky'!A31,'Data - Průběžky 2021'!$Z$3:$Z$237)</f>
        <v>0</v>
      </c>
      <c r="T31" s="97">
        <f ca="1">SUMIF('Data - Průběžky 2021'!$E$3:$AG$238,'Průběžky 2021 - celkové částky'!A31,'Data - Průběžky 2021'!$AB$3:$AB$237)</f>
        <v>0</v>
      </c>
      <c r="U31" s="97">
        <f ca="1">SUMIF('Data - Průběžky 2021'!$E$3:$AG$238,'Průběžky 2021 - celkové částky'!A31,'Data - Průběžky 2021'!$AC$3:$AC$237)</f>
        <v>0</v>
      </c>
      <c r="V31" s="96">
        <f ca="1">SUMIF('Data - Průběžky 2021'!$E$3:$AG$238,'Průběžky 2021 - celkové částky'!A31,'Data - Průběžky 2021'!$AA$3:$AA$237)</f>
        <v>0</v>
      </c>
      <c r="W31" s="96">
        <f ca="1">SUMIF('Data - Průběžky 2021'!$E$3:$AG$238,'Průběžky 2021 - celkové částky'!A31,'Data - Průběžky 2021'!$AD$3:$AD$237)+SUMIF('Data - Průběžky 2021'!$E$3:$AG$238,'Průběžky 2021 - celkové částky'!A31,'Data - Průběžky 2021'!$AE$3:$AE$237)+SUMIF('Data - Průběžky 2021'!$E$3:$AG$238,'Průběžky 2021 - celkové částky'!A31,'Data - Průběžky 2021'!$AF$3:$AF$237)+SUMIF('Data - Průběžky 2021'!$E$3:$AG$238,'Průběžky 2021 - celkové částky'!A31,'Data - Průběžky 2021'!$AG$3:$AG$237)</f>
        <v>0</v>
      </c>
    </row>
    <row r="32" spans="1:23" x14ac:dyDescent="0.15">
      <c r="A32" s="92" t="s">
        <v>331</v>
      </c>
      <c r="B32" s="95">
        <f ca="1">SUMIF('Data - Průběžky 2021'!$E$3:$J$238,'Průběžky 2021 - celkové částky'!A32,'Data - Průběžky 2021'!$J$3:$J$238)</f>
        <v>23562602.960000001</v>
      </c>
      <c r="D32" s="92">
        <v>40.75</v>
      </c>
      <c r="E32" s="95"/>
      <c r="F32" s="95">
        <f t="shared" ca="1" si="0"/>
        <v>578223.38552147243</v>
      </c>
      <c r="G32" s="95"/>
      <c r="H32" s="95">
        <f t="shared" ca="1" si="1"/>
        <v>48185.282126789367</v>
      </c>
      <c r="J32" s="95">
        <f ca="1">SUMIF('Data - Průběžky 2021'!$E$3:$AG$238,'Průběžky 2021 - celkové částky'!A32,'Data - Průběžky 2021'!$L$3:$L$237)</f>
        <v>17054000</v>
      </c>
      <c r="K32" s="95">
        <v>0</v>
      </c>
      <c r="L32" s="95">
        <f ca="1">SUMIF('Data - Průběžky 2021'!$E$3:$N$238,'Průběžky 2021 - celkové částky'!A32,'Data - Průběžky 2021'!$N$3:$N$238)</f>
        <v>1438000</v>
      </c>
      <c r="M32" s="95">
        <f ca="1">SUMIF('Data - Průběžky 2021'!$E$3:$R$238,'Průběžky 2021 - celkové částky'!A32,'Data - Průběžky 2021'!$O$3:$O$238)+SUMIF('Data - Průběžky 2021'!$E$3:$R$238,'Průběžky 2021 - celkové částky'!A32,'Data - Průběžky 2021'!$P$3:$P$238)+SUMIF('Data - Průběžky 2021'!$E$3:$R$238,'Průběžky 2021 - celkové částky'!A32,'Data - Průběžky 2021'!$Q$3:$Q$238)+SUMIF('Data - Průběžky 2021'!$E$3:$R$238,'Průběžky 2021 - celkové částky'!A32,'Data - Průběžky 2021'!$R$3:$R$238)</f>
        <v>0</v>
      </c>
      <c r="N32" s="95">
        <f ca="1">SUMIF('Data - Průběžky 2021'!$E$3:$AG$238,'Průběžky 2021 - celkové částky'!A32,'Data - Průběžky 2021'!$S$3:$S$237)</f>
        <v>2031017</v>
      </c>
      <c r="O32" s="95">
        <f ca="1">SUMIF('Data - Průběžky 2021'!$E$3:$AG$238,'Průběžky 2021 - celkové částky'!A32,'Data - Průběžky 2021'!$T$3:$T$237)</f>
        <v>0</v>
      </c>
      <c r="P32" s="95">
        <f ca="1">SUMIF('Data - Průběžky 2021'!$E$3:$AG$238,'Průběžky 2021 - celkové částky'!A32,'Data - Průběžky 2021'!$U$3:$U$237)</f>
        <v>1186050</v>
      </c>
      <c r="Q32" s="95">
        <f ca="1">SUMIF('Data - Průběžky 2021'!$E$3:$AG$238,'Průběžky 2021 - celkové částky'!A32,'Data - Průběžky 2021'!$V$3:$V$237)</f>
        <v>0</v>
      </c>
      <c r="R32" s="95">
        <f ca="1">SUMIF('Data - Průběžky 2021'!$E$3:$AG$238,'Průběžky 2021 - celkové částky'!A32,'Data - Průběžky 2021'!$W$3:$W$237)+SUMIF('Data - Průběžky 2021'!$E$3:$AG$238,'Průběžky 2021 - celkové částky'!A32,'Data - Průběžky 2021'!$X$3:$X$237)</f>
        <v>1847000</v>
      </c>
      <c r="S32" s="95">
        <f ca="1">SUMIF('Data - Průběžky 2021'!$E$3:$AG$238,'Průběžky 2021 - celkové částky'!A32,'Data - Průběžky 2021'!$Z$3:$Z$237)</f>
        <v>0</v>
      </c>
      <c r="T32" s="95">
        <f ca="1">SUMIF('Data - Průběžky 2021'!$E$3:$AG$238,'Průběžky 2021 - celkové částky'!A32,'Data - Průběžky 2021'!$AB$3:$AB$237)</f>
        <v>0</v>
      </c>
      <c r="U32" s="95">
        <f ca="1">SUMIF('Data - Průběžky 2021'!$E$3:$AG$238,'Průběžky 2021 - celkové částky'!A32,'Data - Průběžky 2021'!$AC$3:$AC$237)</f>
        <v>0</v>
      </c>
      <c r="V32" s="92">
        <f ca="1">SUMIF('Data - Průběžky 2021'!$E$3:$AG$238,'Průběžky 2021 - celkové částky'!A32,'Data - Průběžky 2021'!$AA$3:$AA$237)</f>
        <v>0</v>
      </c>
      <c r="W32" s="92">
        <f ca="1">SUMIF('Data - Průběžky 2021'!$E$3:$AG$238,'Průběžky 2021 - celkové částky'!A32,'Data - Průběžky 2021'!$AD$3:$AD$237)+SUMIF('Data - Průběžky 2021'!$E$3:$AG$238,'Průběžky 2021 - celkové částky'!A32,'Data - Průběžky 2021'!$AE$3:$AE$237)+SUMIF('Data - Průběžky 2021'!$E$3:$AG$238,'Průběžky 2021 - celkové částky'!A32,'Data - Průběžky 2021'!$AF$3:$AF$237)+SUMIF('Data - Průběžky 2021'!$E$3:$AG$238,'Průběžky 2021 - celkové částky'!A32,'Data - Průběžky 2021'!$AG$3:$AG$237)</f>
        <v>6535.96</v>
      </c>
    </row>
    <row r="33" spans="1:24" x14ac:dyDescent="0.15">
      <c r="A33" s="92" t="s">
        <v>343</v>
      </c>
      <c r="B33" s="95">
        <f ca="1">SUMIF('Data - Průběžky 2021'!$E$3:$J$238,'Průběžky 2021 - celkové částky'!A33,'Data - Průběžky 2021'!$J$3:$J$238)</f>
        <v>15434402</v>
      </c>
      <c r="D33" s="92">
        <v>25.049999999999997</v>
      </c>
      <c r="E33" s="95"/>
      <c r="F33" s="95">
        <f t="shared" ca="1" si="0"/>
        <v>616143.79241516977</v>
      </c>
      <c r="G33" s="95"/>
      <c r="H33" s="95">
        <f t="shared" ca="1" si="1"/>
        <v>51345.316034597483</v>
      </c>
      <c r="J33" s="95">
        <f ca="1">SUMIF('Data - Průběžky 2021'!$E$3:$AG$238,'Průběžky 2021 - celkové částky'!A33,'Data - Průběžky 2021'!$L$3:$L$237)</f>
        <v>11867493</v>
      </c>
      <c r="K33" s="95">
        <v>0</v>
      </c>
      <c r="L33" s="95">
        <f ca="1">SUMIF('Data - Průběžky 2021'!$E$3:$N$238,'Průběžky 2021 - celkové částky'!A33,'Data - Průběžky 2021'!$N$3:$N$238)</f>
        <v>540000</v>
      </c>
      <c r="M33" s="95">
        <f ca="1">SUMIF('Data - Průběžky 2021'!$E$3:$R$238,'Průběžky 2021 - celkové částky'!A33,'Data - Průběžky 2021'!$O$3:$O$238)+SUMIF('Data - Průběžky 2021'!$E$3:$R$238,'Průběžky 2021 - celkové částky'!A33,'Data - Průběžky 2021'!$P$3:$P$238)+SUMIF('Data - Průběžky 2021'!$E$3:$R$238,'Průběžky 2021 - celkové částky'!A33,'Data - Průběžky 2021'!$Q$3:$Q$238)+SUMIF('Data - Průběžky 2021'!$E$3:$R$238,'Průběžky 2021 - celkové částky'!A33,'Data - Průběžky 2021'!$R$3:$R$238)</f>
        <v>0</v>
      </c>
      <c r="N33" s="95">
        <f ca="1">SUMIF('Data - Průběžky 2021'!$E$3:$AG$238,'Průběžky 2021 - celkové částky'!A33,'Data - Průběžky 2021'!$S$3:$S$237)</f>
        <v>771080</v>
      </c>
      <c r="O33" s="95">
        <f ca="1">SUMIF('Data - Průběžky 2021'!$E$3:$AG$238,'Průběžky 2021 - celkové částky'!A33,'Data - Průběžky 2021'!$T$3:$T$237)</f>
        <v>0</v>
      </c>
      <c r="P33" s="95">
        <f ca="1">SUMIF('Data - Průběžky 2021'!$E$3:$AG$238,'Průběžky 2021 - celkové částky'!A33,'Data - Průběžky 2021'!$U$3:$U$237)</f>
        <v>0</v>
      </c>
      <c r="Q33" s="95">
        <f ca="1">SUMIF('Data - Průběžky 2021'!$E$3:$AG$238,'Průběžky 2021 - celkové částky'!A33,'Data - Průběžky 2021'!$V$3:$V$237)</f>
        <v>21384</v>
      </c>
      <c r="R33" s="95">
        <f ca="1">SUMIF('Data - Průběžky 2021'!$E$3:$AG$238,'Průběžky 2021 - celkové částky'!A33,'Data - Průběžky 2021'!$W$3:$W$237)+SUMIF('Data - Průběžky 2021'!$E$3:$AG$238,'Průběžky 2021 - celkové částky'!A33,'Data - Průběžky 2021'!$X$3:$X$237)</f>
        <v>2051337</v>
      </c>
      <c r="S33" s="95">
        <f ca="1">SUMIF('Data - Průběžky 2021'!$E$3:$AG$238,'Průběžky 2021 - celkové částky'!A33,'Data - Průběžky 2021'!$Z$3:$Z$237)</f>
        <v>0</v>
      </c>
      <c r="T33" s="95">
        <f ca="1">SUMIF('Data - Průběžky 2021'!$E$3:$AG$238,'Průběžky 2021 - celkové částky'!A33,'Data - Průběžky 2021'!$AB$3:$AB$237)</f>
        <v>0</v>
      </c>
      <c r="U33" s="95">
        <f ca="1">SUMIF('Data - Průběžky 2021'!$E$3:$AG$238,'Průběžky 2021 - celkové částky'!A33,'Data - Průběžky 2021'!$AC$3:$AC$237)</f>
        <v>0</v>
      </c>
      <c r="V33" s="92">
        <f ca="1">SUMIF('Data - Průběžky 2021'!$E$3:$AG$238,'Průběžky 2021 - celkové částky'!A33,'Data - Průběžky 2021'!$AA$3:$AA$237)</f>
        <v>53108</v>
      </c>
      <c r="W33" s="92">
        <f ca="1">SUMIF('Data - Průběžky 2021'!$E$3:$AG$238,'Průběžky 2021 - celkové částky'!A33,'Data - Průběžky 2021'!$AD$3:$AD$237)+SUMIF('Data - Průběžky 2021'!$E$3:$AG$238,'Průběžky 2021 - celkové částky'!A33,'Data - Průběžky 2021'!$AE$3:$AE$237)+SUMIF('Data - Průběžky 2021'!$E$3:$AG$238,'Průběžky 2021 - celkové částky'!A33,'Data - Průběžky 2021'!$AF$3:$AF$237)+SUMIF('Data - Průběžky 2021'!$E$3:$AG$238,'Průběžky 2021 - celkové částky'!A33,'Data - Průběžky 2021'!$AG$3:$AG$237)</f>
        <v>130000</v>
      </c>
    </row>
    <row r="34" spans="1:24" x14ac:dyDescent="0.15">
      <c r="B34" s="95">
        <f t="shared" ref="B34:W34" ca="1" si="4">SUBTOTAL(9,B2:B33)</f>
        <v>1445888078.1400001</v>
      </c>
      <c r="C34" s="95">
        <f t="shared" si="4"/>
        <v>2492</v>
      </c>
      <c r="D34" s="95">
        <f t="shared" si="4"/>
        <v>2204.1279999999997</v>
      </c>
      <c r="E34" s="95">
        <f t="shared" ca="1" si="4"/>
        <v>3188956.7439281624</v>
      </c>
      <c r="F34" s="95">
        <f t="shared" ca="1" si="4"/>
        <v>17286148.315849591</v>
      </c>
      <c r="G34" s="95">
        <f t="shared" ca="1" si="4"/>
        <v>265746.39532734687</v>
      </c>
      <c r="H34" s="95">
        <f t="shared" ca="1" si="4"/>
        <v>1440512.3596541327</v>
      </c>
      <c r="I34" s="95">
        <f t="shared" si="4"/>
        <v>0</v>
      </c>
      <c r="J34" s="95">
        <f t="shared" ca="1" si="4"/>
        <v>827841578</v>
      </c>
      <c r="K34" s="95">
        <f t="shared" si="4"/>
        <v>112111925</v>
      </c>
      <c r="L34" s="95">
        <f t="shared" ca="1" si="4"/>
        <v>12541000</v>
      </c>
      <c r="M34" s="95">
        <f t="shared" ca="1" si="4"/>
        <v>1012179</v>
      </c>
      <c r="N34" s="95">
        <f t="shared" ca="1" si="4"/>
        <v>27658604.969999999</v>
      </c>
      <c r="O34" s="95">
        <f t="shared" ca="1" si="4"/>
        <v>112502766</v>
      </c>
      <c r="P34" s="95">
        <f t="shared" ca="1" si="4"/>
        <v>3508717.2199999997</v>
      </c>
      <c r="Q34" s="95">
        <f t="shared" ca="1" si="4"/>
        <v>1011901</v>
      </c>
      <c r="R34" s="95">
        <f t="shared" ca="1" si="4"/>
        <v>8637106.0199999996</v>
      </c>
      <c r="S34" s="95">
        <f t="shared" ca="1" si="4"/>
        <v>216578165.13</v>
      </c>
      <c r="T34" s="95">
        <f t="shared" ca="1" si="4"/>
        <v>56219853.550000012</v>
      </c>
      <c r="U34" s="95">
        <f t="shared" ca="1" si="4"/>
        <v>9445076.8299999982</v>
      </c>
      <c r="V34" s="95">
        <f t="shared" ca="1" si="4"/>
        <v>41742683.5</v>
      </c>
      <c r="W34" s="95">
        <f t="shared" ca="1" si="4"/>
        <v>15076521.920000002</v>
      </c>
    </row>
    <row r="35" spans="1:24" x14ac:dyDescent="0.15">
      <c r="J35" s="100">
        <f t="shared" ref="J35:W35" ca="1" si="5">J34/$B$34</f>
        <v>0.57254886496120838</v>
      </c>
      <c r="K35" s="100">
        <f t="shared" ca="1" si="5"/>
        <v>7.7538453145157352E-2</v>
      </c>
      <c r="L35" s="100">
        <f t="shared" ca="1" si="5"/>
        <v>8.6735620755188907E-3</v>
      </c>
      <c r="M35" s="100">
        <f t="shared" ca="1" si="5"/>
        <v>7.0003966095499848E-4</v>
      </c>
      <c r="N35" s="100">
        <f t="shared" ca="1" si="5"/>
        <v>1.9129146569615684E-2</v>
      </c>
      <c r="O35" s="100">
        <f t="shared" ca="1" si="5"/>
        <v>7.7808765215578987E-2</v>
      </c>
      <c r="P35" s="100">
        <f t="shared" ca="1" si="5"/>
        <v>2.4266865970107702E-3</v>
      </c>
      <c r="Q35" s="100">
        <f t="shared" ca="1" si="5"/>
        <v>6.9984739157799548E-4</v>
      </c>
      <c r="R35" s="100">
        <f t="shared" ca="1" si="5"/>
        <v>5.9735647250863493E-3</v>
      </c>
      <c r="S35" s="100">
        <f t="shared" ca="1" si="5"/>
        <v>0.14978902475536526</v>
      </c>
      <c r="T35" s="100">
        <f t="shared" ca="1" si="5"/>
        <v>3.8882576321067397E-2</v>
      </c>
      <c r="U35" s="100">
        <f t="shared" ca="1" si="5"/>
        <v>6.532370639745648E-3</v>
      </c>
      <c r="V35" s="100">
        <f t="shared" ca="1" si="5"/>
        <v>2.8869927161788388E-2</v>
      </c>
      <c r="W35" s="100">
        <f t="shared" ca="1" si="5"/>
        <v>1.042717078032384E-2</v>
      </c>
    </row>
    <row r="39" spans="1:24" ht="27" x14ac:dyDescent="0.15">
      <c r="I39" s="111"/>
      <c r="J39" s="1" t="s">
        <v>777</v>
      </c>
      <c r="K39" s="1" t="s">
        <v>478</v>
      </c>
      <c r="L39" s="1" t="s">
        <v>778</v>
      </c>
      <c r="M39" s="1" t="s">
        <v>779</v>
      </c>
      <c r="N39" s="1" t="s">
        <v>312</v>
      </c>
      <c r="O39" s="1" t="s">
        <v>780</v>
      </c>
      <c r="P39" s="1" t="s">
        <v>781</v>
      </c>
      <c r="Q39" s="1" t="s">
        <v>782</v>
      </c>
      <c r="R39" s="1" t="s">
        <v>783</v>
      </c>
      <c r="S39" s="1" t="s">
        <v>784</v>
      </c>
      <c r="T39" s="1" t="s">
        <v>785</v>
      </c>
      <c r="U39" s="1" t="s">
        <v>786</v>
      </c>
      <c r="V39" s="1" t="s">
        <v>782</v>
      </c>
      <c r="W39" s="1" t="s">
        <v>787</v>
      </c>
      <c r="X39" s="113" t="s">
        <v>231</v>
      </c>
    </row>
    <row r="40" spans="1:24" ht="27" x14ac:dyDescent="0.15">
      <c r="I40" s="90" t="s">
        <v>633</v>
      </c>
      <c r="J40" s="110">
        <v>21928706</v>
      </c>
      <c r="K40" s="110">
        <v>3553185</v>
      </c>
      <c r="L40" s="110">
        <v>1334000</v>
      </c>
      <c r="M40" s="110">
        <v>0</v>
      </c>
      <c r="N40" s="110">
        <v>1393239</v>
      </c>
      <c r="O40" s="110">
        <v>0</v>
      </c>
      <c r="P40" s="110">
        <v>0</v>
      </c>
      <c r="Q40" s="110">
        <v>0</v>
      </c>
      <c r="R40" s="110">
        <v>401800</v>
      </c>
      <c r="S40" s="110">
        <v>0</v>
      </c>
      <c r="T40" s="110">
        <v>0</v>
      </c>
      <c r="U40" s="110">
        <v>0</v>
      </c>
      <c r="V40" s="110">
        <v>0</v>
      </c>
      <c r="W40" s="110">
        <v>262995</v>
      </c>
      <c r="X40" s="110">
        <f>SUM(J40:W40)</f>
        <v>28873925</v>
      </c>
    </row>
    <row r="41" spans="1:24" ht="18" x14ac:dyDescent="0.15">
      <c r="I41" s="90" t="s">
        <v>532</v>
      </c>
      <c r="J41" s="110">
        <f ca="1">SUM(J3:J16)</f>
        <v>681276189</v>
      </c>
      <c r="K41" s="110">
        <f t="shared" ref="K41:W41" si="6">SUM(K3:K16)</f>
        <v>106321370</v>
      </c>
      <c r="L41" s="110">
        <f t="shared" ca="1" si="6"/>
        <v>4990000</v>
      </c>
      <c r="M41" s="110">
        <f t="shared" ca="1" si="6"/>
        <v>970959</v>
      </c>
      <c r="N41" s="110">
        <f t="shared" ca="1" si="6"/>
        <v>13217202.969999999</v>
      </c>
      <c r="O41" s="110">
        <f t="shared" ca="1" si="6"/>
        <v>110284126</v>
      </c>
      <c r="P41" s="110">
        <f t="shared" ca="1" si="6"/>
        <v>0</v>
      </c>
      <c r="Q41" s="110">
        <f t="shared" ca="1" si="6"/>
        <v>707911</v>
      </c>
      <c r="R41" s="110">
        <f t="shared" ca="1" si="6"/>
        <v>703721.02</v>
      </c>
      <c r="S41" s="110">
        <f t="shared" ca="1" si="6"/>
        <v>214944209.13</v>
      </c>
      <c r="T41" s="110">
        <f t="shared" ca="1" si="6"/>
        <v>56219853.550000012</v>
      </c>
      <c r="U41" s="110">
        <f t="shared" ca="1" si="6"/>
        <v>9445076.8299999982</v>
      </c>
      <c r="V41" s="110">
        <f t="shared" ca="1" si="6"/>
        <v>41029434</v>
      </c>
      <c r="W41" s="110">
        <f t="shared" ca="1" si="6"/>
        <v>12774342.980000002</v>
      </c>
      <c r="X41" s="110">
        <f ca="1">SUM(J41:W41)</f>
        <v>1252884395.4799998</v>
      </c>
    </row>
    <row r="42" spans="1:24" ht="27" x14ac:dyDescent="0.15">
      <c r="I42" s="90" t="s">
        <v>650</v>
      </c>
      <c r="J42" s="110">
        <f ca="1">SUM(J17:J33)</f>
        <v>124636683</v>
      </c>
      <c r="K42" s="110">
        <f t="shared" ref="K42:W42" si="7">SUM(K17:K33)</f>
        <v>2237370</v>
      </c>
      <c r="L42" s="110">
        <f t="shared" ca="1" si="7"/>
        <v>6217000</v>
      </c>
      <c r="M42" s="110">
        <f t="shared" ca="1" si="7"/>
        <v>41220</v>
      </c>
      <c r="N42" s="110">
        <f t="shared" ca="1" si="7"/>
        <v>13048163</v>
      </c>
      <c r="O42" s="110">
        <f t="shared" ca="1" si="7"/>
        <v>2218640</v>
      </c>
      <c r="P42" s="110">
        <f t="shared" ca="1" si="7"/>
        <v>3508717.2199999997</v>
      </c>
      <c r="Q42" s="110">
        <f t="shared" ca="1" si="7"/>
        <v>303990</v>
      </c>
      <c r="R42" s="110">
        <f t="shared" ca="1" si="7"/>
        <v>7531585</v>
      </c>
      <c r="S42" s="110">
        <f t="shared" ca="1" si="7"/>
        <v>1633956</v>
      </c>
      <c r="T42" s="110">
        <f t="shared" ca="1" si="7"/>
        <v>0</v>
      </c>
      <c r="U42" s="110">
        <f t="shared" ca="1" si="7"/>
        <v>0</v>
      </c>
      <c r="V42" s="110">
        <f t="shared" ca="1" si="7"/>
        <v>713249.5</v>
      </c>
      <c r="W42" s="110">
        <f t="shared" ca="1" si="7"/>
        <v>2039183.94</v>
      </c>
      <c r="X42" s="110">
        <f ca="1">SUM(J42:W42)</f>
        <v>164129757.66</v>
      </c>
    </row>
    <row r="43" spans="1:24" x14ac:dyDescent="0.15">
      <c r="X43" s="110">
        <f ca="1">SUM(X40:X42)</f>
        <v>1445888078.1399999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03C9A-25F3-41BF-8F99-52F18CE25956}">
  <dimension ref="A1:W79"/>
  <sheetViews>
    <sheetView zoomScaleNormal="100" workbookViewId="0">
      <pane ySplit="1" topLeftCell="A2" activePane="bottomLeft" state="frozen"/>
      <selection pane="bottomLeft" activeCell="R33" sqref="R33"/>
    </sheetView>
  </sheetViews>
  <sheetFormatPr defaultColWidth="9.140625" defaultRowHeight="9" x14ac:dyDescent="0.15"/>
  <cols>
    <col min="1" max="1" width="20.5703125" style="92" customWidth="1"/>
    <col min="2" max="2" width="13.140625" style="92" customWidth="1"/>
    <col min="3" max="9" width="9.140625" style="92"/>
    <col min="10" max="10" width="12.85546875" style="92" customWidth="1"/>
    <col min="11" max="11" width="12.5703125" style="92" bestFit="1" customWidth="1"/>
    <col min="12" max="13" width="12.7109375" style="92" customWidth="1"/>
    <col min="14" max="14" width="12.5703125" style="92" bestFit="1" customWidth="1"/>
    <col min="15" max="15" width="11.28515625" style="92" customWidth="1"/>
    <col min="16" max="17" width="9.140625" style="92"/>
    <col min="18" max="18" width="12.5703125" style="92" bestFit="1" customWidth="1"/>
    <col min="19" max="19" width="11.140625" style="92" customWidth="1"/>
    <col min="20" max="16384" width="9.140625" style="92"/>
  </cols>
  <sheetData>
    <row r="1" spans="1:23" s="93" customFormat="1" ht="55.5" customHeight="1" x14ac:dyDescent="0.25">
      <c r="A1" s="93" t="s">
        <v>481</v>
      </c>
      <c r="B1" s="93" t="s">
        <v>770</v>
      </c>
      <c r="C1" s="93" t="s">
        <v>771</v>
      </c>
      <c r="D1" s="93" t="s">
        <v>772</v>
      </c>
      <c r="E1" s="93" t="s">
        <v>773</v>
      </c>
      <c r="F1" s="93" t="s">
        <v>774</v>
      </c>
      <c r="G1" s="93" t="s">
        <v>775</v>
      </c>
      <c r="H1" s="93" t="s">
        <v>776</v>
      </c>
      <c r="J1" s="93" t="s">
        <v>777</v>
      </c>
      <c r="K1" s="93" t="s">
        <v>478</v>
      </c>
      <c r="L1" s="93" t="s">
        <v>778</v>
      </c>
      <c r="M1" s="93" t="s">
        <v>779</v>
      </c>
      <c r="N1" s="93" t="s">
        <v>312</v>
      </c>
      <c r="O1" s="93" t="s">
        <v>780</v>
      </c>
      <c r="P1" s="93" t="s">
        <v>781</v>
      </c>
      <c r="Q1" s="93" t="s">
        <v>782</v>
      </c>
      <c r="R1" s="93" t="s">
        <v>783</v>
      </c>
      <c r="S1" s="93" t="s">
        <v>784</v>
      </c>
      <c r="T1" s="93" t="s">
        <v>785</v>
      </c>
      <c r="U1" s="93" t="s">
        <v>786</v>
      </c>
      <c r="V1" s="93" t="s">
        <v>782</v>
      </c>
      <c r="W1" s="93" t="s">
        <v>787</v>
      </c>
    </row>
    <row r="2" spans="1:23" x14ac:dyDescent="0.15">
      <c r="A2" s="107" t="s">
        <v>268</v>
      </c>
      <c r="B2" s="108">
        <f ca="1">SUMIF('Data - Průběžky 2021'!$E$3:$J$238,'Průběžky 2021 - rozdělení'!A2,'Data - Průběžky 2021'!$J$3:$J$238)</f>
        <v>28873925</v>
      </c>
      <c r="C2" s="107"/>
      <c r="D2" s="107">
        <v>41.408999999999999</v>
      </c>
      <c r="E2" s="108"/>
      <c r="F2" s="108">
        <f ca="1">B2/D2</f>
        <v>697286.21797193843</v>
      </c>
      <c r="G2" s="108"/>
      <c r="H2" s="108">
        <f ca="1">F2/12</f>
        <v>58107.184830994869</v>
      </c>
      <c r="I2" s="107"/>
      <c r="J2" s="108">
        <f ca="1">SUMIF('Data - Průběžky 2021'!$E$3:$AG$238,'Průběžky 2021 - rozdělení'!A2,'Data - Průběžky 2021'!$L$3:$L$237)</f>
        <v>21928706</v>
      </c>
      <c r="K2" s="108">
        <v>3553185</v>
      </c>
      <c r="L2" s="108">
        <f ca="1">SUMIF('Data - Průběžky 2021'!$E$3:$N$238,'Průběžky 2021 - rozdělení'!A2,'Data - Průběžky 2021'!$N$3:$N$238)</f>
        <v>1334000</v>
      </c>
      <c r="M2" s="108">
        <f ca="1">SUMIF('Data - Průběžky 2021'!$E$3:$R$238,'Průběžky 2021 - rozdělení'!A2,'Data - Průběžky 2021'!$O$3:$O$238)+SUMIF('Data - Průběžky 2021'!$E$3:$R$238,'Průběžky 2021 - rozdělení'!A2,'Data - Průběžky 2021'!$P$3:$P$238)+SUMIF('Data - Průběžky 2021'!$E$3:$R$238,'Průběžky 2021 - rozdělení'!A2,'Data - Průběžky 2021'!$Q$3:$Q$238)+SUMIF('Data - Průběžky 2021'!$E$3:$R$238,'Průběžky 2021 - rozdělení'!A2,'Data - Průběžky 2021'!$R$3:$R$238)</f>
        <v>0</v>
      </c>
      <c r="N2" s="108">
        <f ca="1">SUMIF('Data - Průběžky 2021'!$E$3:$AG$238,'Průběžky 2021 - rozdělení'!A2,'Data - Průběžky 2021'!$S$3:$S$237)</f>
        <v>1393239</v>
      </c>
      <c r="O2" s="108">
        <f ca="1">SUMIF('Data - Průběžky 2021'!$E$3:$AG$238,'Průběžky 2021 - rozdělení'!A2,'Data - Průběžky 2021'!$T$3:$T$237)</f>
        <v>0</v>
      </c>
      <c r="P2" s="108">
        <f ca="1">SUMIF('Data - Průběžky 2021'!$E$3:$AG$238,'Průběžky 2021 - rozdělení'!A2,'Data - Průběžky 2021'!$U$3:$U$237)</f>
        <v>0</v>
      </c>
      <c r="Q2" s="108">
        <f ca="1">SUMIF('Data - Průběžky 2021'!$E$3:$AG$238,'Průběžky 2021 - rozdělení'!A2,'Data - Průběžky 2021'!$V$3:$V$237)</f>
        <v>0</v>
      </c>
      <c r="R2" s="108">
        <f ca="1">SUMIF('Data - Průběžky 2021'!$E$3:$AG$238,'Průběžky 2021 - rozdělení'!A2,'Data - Průběžky 2021'!$W$3:$W$237)+SUMIF('Data - Průběžky 2021'!$E$3:$AG$238,'Průběžky 2021 - rozdělení'!A2,'Data - Průběžky 2021'!$X$3:$X$237)</f>
        <v>401800</v>
      </c>
      <c r="S2" s="108">
        <f ca="1">SUMIF('Data - Průběžky 2021'!$E$3:$AG$238,'Průběžky 2021 - rozdělení'!A2,'Data - Průběžky 2021'!$Z$3:$Z$237)</f>
        <v>0</v>
      </c>
      <c r="T2" s="108">
        <f ca="1">SUMIF('Data - Průběžky 2021'!$E$3:$AG$238,'Průběžky 2021 - rozdělení'!A2,'Data - Průběžky 2021'!$AB$3:$AB$237)</f>
        <v>0</v>
      </c>
      <c r="U2" s="108">
        <f ca="1">SUMIF('Data - Průběžky 2021'!$E$3:$AG$238,'Průběžky 2021 - rozdělení'!A2,'Data - Průběžky 2021'!$AC$3:$AC$237)</f>
        <v>0</v>
      </c>
      <c r="V2" s="107">
        <f ca="1">SUMIF('Data - Průběžky 2021'!$E$3:$AG$238,'Průběžky 2021 - rozdělení'!A2,'Data - Průběžky 2021'!$AA$3:$AA$237)</f>
        <v>0</v>
      </c>
      <c r="W2" s="107">
        <f ca="1">SUMIF('Data - Průběžky 2021'!$E$3:$AG$238,'Průběžky 2021 - rozdělení'!A2,'Data - Průběžky 2021'!$AD$3:$AD$237)+SUMIF('Data - Průběžky 2021'!$E$3:$AG$238,'Průběžky 2021 - rozdělení'!A2,'Data - Průběžky 2021'!$AE$3:$AE$237)+SUMIF('Data - Průběžky 2021'!$E$3:$AG$238,'Průběžky 2021 - rozdělení'!A2,'Data - Průběžky 2021'!$AF$3:$AF$237)+SUMIF('Data - Průběžky 2021'!$E$3:$AG$238,'Průběžky 2021 - rozdělení'!A2,'Data - Průběžky 2021'!$AG$3:$AG$237)</f>
        <v>262995</v>
      </c>
    </row>
    <row r="3" spans="1:23" x14ac:dyDescent="0.15">
      <c r="A3" s="107"/>
      <c r="B3" s="108"/>
      <c r="C3" s="107"/>
      <c r="D3" s="107"/>
      <c r="E3" s="108"/>
      <c r="F3" s="108"/>
      <c r="G3" s="108"/>
      <c r="H3" s="108"/>
      <c r="I3" s="107"/>
      <c r="J3" s="109">
        <f ca="1">J2/$B$2</f>
        <v>0.75946398004427873</v>
      </c>
      <c r="K3" s="109">
        <f t="shared" ref="K3:W3" ca="1" si="0">K2/$B$2</f>
        <v>0.12305860737672485</v>
      </c>
      <c r="L3" s="109">
        <f t="shared" ca="1" si="0"/>
        <v>4.6200854230936735E-2</v>
      </c>
      <c r="M3" s="109">
        <f t="shared" ca="1" si="0"/>
        <v>0</v>
      </c>
      <c r="N3" s="109">
        <f ca="1">N2/$B$2</f>
        <v>4.8252497712036033E-2</v>
      </c>
      <c r="O3" s="109">
        <f t="shared" ca="1" si="0"/>
        <v>0</v>
      </c>
      <c r="P3" s="109">
        <f t="shared" ca="1" si="0"/>
        <v>0</v>
      </c>
      <c r="Q3" s="109">
        <f t="shared" ca="1" si="0"/>
        <v>0</v>
      </c>
      <c r="R3" s="109">
        <f t="shared" ca="1" si="0"/>
        <v>1.3915669587698937E-2</v>
      </c>
      <c r="S3" s="109">
        <f t="shared" ca="1" si="0"/>
        <v>0</v>
      </c>
      <c r="T3" s="109">
        <f t="shared" ca="1" si="0"/>
        <v>0</v>
      </c>
      <c r="U3" s="109">
        <f t="shared" ca="1" si="0"/>
        <v>0</v>
      </c>
      <c r="V3" s="109">
        <f t="shared" ca="1" si="0"/>
        <v>0</v>
      </c>
      <c r="W3" s="109">
        <f t="shared" ca="1" si="0"/>
        <v>9.1083910483247422E-3</v>
      </c>
    </row>
    <row r="4" spans="1:23" x14ac:dyDescent="0.15">
      <c r="A4" s="101" t="s">
        <v>788</v>
      </c>
      <c r="B4" s="102">
        <v>15006180</v>
      </c>
      <c r="C4" s="101"/>
      <c r="D4" s="101"/>
      <c r="E4" s="102"/>
      <c r="F4" s="102"/>
      <c r="G4" s="102"/>
      <c r="H4" s="102"/>
      <c r="I4" s="101" t="s">
        <v>788</v>
      </c>
      <c r="J4" s="103">
        <f>SUMIFS('Data - Průběžky 2021'!$L$3:$L$237,'Data - Průběžky 2021'!$D$3:$D$237,"PO kraje",'Data - Průběžky 2021'!$E$3:$E$237,'Průběžky 2021 - rozdělení'!$A$2)/$B4</f>
        <v>0.74955784883294752</v>
      </c>
      <c r="K4" s="103">
        <f>SUMIFS('Data - Průběžky 2021'!$M$3:$M$237,'Data - Průběžky 2021'!$D$3:$D$237,"PO kraje",'Data - Průběžky 2021'!$E$3:$E$237,'Průběžky 2021 - rozdělení'!$A$2)/$B4</f>
        <v>0.23678144604422977</v>
      </c>
      <c r="L4" s="103">
        <f>SUMIFS('Data - Průběžky 2021'!$N$3:$N$237,'Data - Průběžky 2021'!$D$3:$D$237,"PO kraje",'Data - Průběžky 2021'!$E$3:$E$237,'Průběžky 2021 - rozdělení'!$A2)/$B4</f>
        <v>0</v>
      </c>
      <c r="M4" s="103">
        <v>0</v>
      </c>
      <c r="N4" s="103">
        <f>SUMIFS('Data - Průběžky 2021'!$S$3:$S$237,'Data - Průběžky 2021'!$D$3:$D$237,"PO kraje",'Data - Průběžky 2021'!$E$3:$E$237,'Průběžky 2021 - rozdělení'!$A$2)/$B4</f>
        <v>0</v>
      </c>
      <c r="O4" s="103">
        <v>0</v>
      </c>
      <c r="P4" s="103">
        <v>0</v>
      </c>
      <c r="Q4" s="103">
        <v>0</v>
      </c>
      <c r="R4" s="103">
        <f>(SUMIFS('Data - Průběžky 2021'!$W$3:$W$237,'Data - Průběžky 2021'!$D$3:$D$237,"PO kraje",'Data - Průběžky 2021'!$E$3:$E$237,'Průběžky 2021 - rozdělení'!$A$2)+SUMIFS('Data - Průběžky 2021'!$X$3:$X$237,'Data - Průběžky 2021'!$D$3:$D$237,"PO kraje",'Data - Průběžky 2021'!$E$3:$E$237,'Průběžky 2021 - rozdělení'!$A$2))/$B4</f>
        <v>0</v>
      </c>
      <c r="S4" s="103">
        <v>0</v>
      </c>
      <c r="T4" s="103">
        <v>0</v>
      </c>
      <c r="U4" s="103">
        <v>0</v>
      </c>
      <c r="V4" s="103">
        <v>0</v>
      </c>
      <c r="W4" s="103">
        <f>100%-(SUM(J4:V4))</f>
        <v>1.3660705122822692E-2</v>
      </c>
    </row>
    <row r="5" spans="1:23" x14ac:dyDescent="0.15">
      <c r="A5" s="101" t="s">
        <v>789</v>
      </c>
      <c r="B5" s="102">
        <f>SUMIFS('Data - Průběžky 2021'!$J$3:$J$237,'Data - Průběžky 2021'!$D$3:$D$237,"Příspěvková organizace zřízená územním samosprávným celkem",'Data - Průběžky 2021'!$E$3:$E$237,'Průběžky 2021 - rozdělení'!$A$2)</f>
        <v>0</v>
      </c>
      <c r="C5" s="101"/>
      <c r="D5" s="101"/>
      <c r="E5" s="102"/>
      <c r="F5" s="102"/>
      <c r="G5" s="102"/>
      <c r="H5" s="102"/>
      <c r="I5" s="101" t="s">
        <v>789</v>
      </c>
      <c r="J5" s="103" t="e">
        <f>SUMIFS('Data - Průběžky 2021'!$L$3:$L$237,'Data - Průběžky 2021'!$D$3:$D$237,"Příspěvková organizace zřízená územním samosprávným celkem",'Data - Průběžky 2021'!$E$3:$E$237,'Průběžky 2021 - rozdělení'!$A$2)/$B5</f>
        <v>#DIV/0!</v>
      </c>
      <c r="K5" s="103" t="e">
        <f>SUMIFS('Data - Průběžky 2021'!$M$3:$M$237,'Data - Průběžky 2021'!$D$3:$D$237,"Příspěvková organizace zřízená územním samosprávným celkem",'Data - Průběžky 2021'!$E$3:$E$237,'Průběžky 2021 - rozdělení'!$A$2)/$B5</f>
        <v>#DIV/0!</v>
      </c>
      <c r="L5" s="103" t="e">
        <f>SUMIFS('Data - Průběžky 2021'!$N$3:$N$237,'Data - Průběžky 2021'!$D$3:$D$237,"Příspěvková organizace zřízená územním samosprávným celkem",'Data - Průběžky 2021'!$E$3:$E$237,'Průběžky 2021 - rozdělení'!$A$2)/$B5</f>
        <v>#DIV/0!</v>
      </c>
      <c r="M5" s="103">
        <v>0</v>
      </c>
      <c r="N5" s="103">
        <v>0</v>
      </c>
      <c r="O5" s="103">
        <v>0</v>
      </c>
      <c r="P5" s="103">
        <v>0</v>
      </c>
      <c r="Q5" s="103">
        <v>0</v>
      </c>
      <c r="R5" s="103">
        <v>0</v>
      </c>
      <c r="S5" s="103">
        <v>0</v>
      </c>
      <c r="T5" s="103">
        <v>0</v>
      </c>
      <c r="U5" s="103">
        <v>0</v>
      </c>
      <c r="V5" s="103">
        <v>0</v>
      </c>
      <c r="W5" s="103">
        <v>0</v>
      </c>
    </row>
    <row r="6" spans="1:23" x14ac:dyDescent="0.15">
      <c r="A6" s="101" t="s">
        <v>379</v>
      </c>
      <c r="B6" s="102">
        <f>SUMIFS('Data - Průběžky 2021'!$J$3:$J$237,'Data - Průběžky 2021'!$D$3:$D$237,"Obec",'Data - Průběžky 2021'!$E$3:$E$237,'Průběžky 2021 - rozdělení'!$A$2)</f>
        <v>0</v>
      </c>
      <c r="C6" s="101"/>
      <c r="D6" s="101"/>
      <c r="E6" s="102"/>
      <c r="F6" s="102"/>
      <c r="G6" s="102"/>
      <c r="H6" s="102"/>
      <c r="I6" s="101" t="s">
        <v>379</v>
      </c>
      <c r="J6" s="103" t="e">
        <f>SUMIFS('Data - Průběžky 2021'!$L$3:$L$237,'Data - Průběžky 2021'!$D$3:$D$237,"Obec",'Data - Průběžky 2021'!$E$3:$E$237,'Průběžky 2021 - rozdělení'!$A$2)/$B6</f>
        <v>#DIV/0!</v>
      </c>
      <c r="K6" s="103" t="e">
        <f>SUMIFS('Data - Průběžky 2021'!$M$3:$M$237,'Data - Průběžky 2021'!$D$3:$D$237,"Obec",'Data - Průběžky 2021'!$E$3:$E$237,'Průběžky 2021 - rozdělení'!$A$2)/$B6</f>
        <v>#DIV/0!</v>
      </c>
      <c r="L6" s="103" t="e">
        <f>SUMIFS('Data - Průběžky 2021'!$N$3:$N$237,'Data - Průběžky 2021'!$D$3:$D$237,"Obec",'Data - Průběžky 2021'!$E$3:$E$237,'Průběžky 2021 - rozdělení'!$A$2)/$B6</f>
        <v>#DIV/0!</v>
      </c>
      <c r="M6" s="103">
        <v>0</v>
      </c>
      <c r="N6" s="103">
        <v>0</v>
      </c>
      <c r="O6" s="103">
        <v>0</v>
      </c>
      <c r="P6" s="103">
        <v>0</v>
      </c>
      <c r="Q6" s="103">
        <v>0</v>
      </c>
      <c r="R6" s="103">
        <v>0</v>
      </c>
      <c r="S6" s="103">
        <v>0</v>
      </c>
      <c r="T6" s="103">
        <v>0</v>
      </c>
      <c r="U6" s="103">
        <v>0</v>
      </c>
      <c r="V6" s="103">
        <v>0</v>
      </c>
      <c r="W6" s="103">
        <v>0</v>
      </c>
    </row>
    <row r="7" spans="1:23" x14ac:dyDescent="0.15">
      <c r="A7" s="101" t="s">
        <v>790</v>
      </c>
      <c r="B7" s="102">
        <f ca="1">B2-B4-B5-B6</f>
        <v>13867745</v>
      </c>
      <c r="C7" s="101"/>
      <c r="D7" s="101"/>
      <c r="E7" s="102"/>
      <c r="F7" s="102"/>
      <c r="G7" s="102"/>
      <c r="H7" s="102"/>
      <c r="I7" s="101" t="s">
        <v>790</v>
      </c>
      <c r="J7" s="103">
        <f ca="1">(J2-(SUMIFS('Data - Průběžky 2021'!$L$3:$L$237,'Data - Průběžky 2021'!$D$3:$D$237,"PO kraje",'Data - Průběžky 2021'!$E$3:$E$237,'Průběžky 2021 - rozdělení'!$A$2)+SUMIFS('Data - Průběžky 2021'!$L$3:$L$237,'Data - Průběžky 2021'!$D$3:$D$237,"Příspěvková organizace zřízená územním samosprávným celkem",'Data - Průběžky 2021'!$E$3:$E$237,'Průběžky 2021 - rozdělení'!$A$2)+SUMIFS('Data - Průběžky 2021'!$L$3:$L$237,'Data - Průběžky 2021'!$D$3:$D$237,"Obec",'Data - Průběžky 2021'!$E$3:$E$237,'Průběžky 2021 - rozdělení'!$A$2)))/$B7</f>
        <v>0.77018332829165814</v>
      </c>
      <c r="K7" s="103">
        <f ca="1">(K2-(SUMIFS('Data - Průběžky 2021'!$M$3:$M$237,'Data - Průběžky 2021'!$D$3:$D$237,"PO kraje",'Data - Průběžky 2021'!$E$3:$E$237,'Průběžky 2021 - rozdělení'!$A$2)+SUMIFS('Data - Průběžky 2021'!$M$3:$M$237,'Data - Průběžky 2021'!$D$3:$D$237,"Příspěvková organizace zřízená územním samosprávným celkem",'Data - Průběžky 2021'!$E$3:$E$237,'Průběžky 2021 - rozdělení'!$A$2)+SUMIFS('Data - Průběžky 2021'!$M$3:$M$237,'Data - Průběžky 2021'!$D$3:$D$237,"Obec",'Data - Průběžky 2021'!$E$3:$E$237,'Průběžky 2021 - rozdělení'!$A$2)))/$B7</f>
        <v>0</v>
      </c>
      <c r="L7" s="103">
        <f ca="1">(L2-(SUMIFS('Data - Průběžky 2021'!$N$3:$N$237,'Data - Průběžky 2021'!$D$3:$D$237,"PO kraje",'Data - Průběžky 2021'!$E$3:$E$237,'Průběžky 2021 - rozdělení'!$A$2)+SUMIFS('Data - Průběžky 2021'!$N$3:$N$237,'Data - Průběžky 2021'!$D$3:$D$237,"Příspěvková organizace zřízená územním samosprávným celkem",'Data - Průběžky 2021'!$E$3:$E$237,'Průběžky 2021 - rozdělení'!$A$2)+SUMIFS('Data - Průběžky 2021'!$N$3:$N$237,'Data - Průběžky 2021'!$D$3:$D$237,"Obec",'Data - Průběžky 2021'!$E$3:$E$237,'Průběžky 2021 - rozdělení'!$A$2)))/$B7</f>
        <v>9.6194442571593292E-2</v>
      </c>
      <c r="M7" s="103">
        <v>0</v>
      </c>
      <c r="N7" s="103">
        <f ca="1">N2/$B7</f>
        <v>0.10046615365367621</v>
      </c>
      <c r="O7" s="103">
        <v>0</v>
      </c>
      <c r="P7" s="103">
        <v>0</v>
      </c>
      <c r="Q7" s="103">
        <v>0</v>
      </c>
      <c r="R7" s="103">
        <f ca="1">R2/B7</f>
        <v>2.8973708414742266E-2</v>
      </c>
      <c r="S7" s="103">
        <v>0</v>
      </c>
      <c r="T7" s="103">
        <v>0</v>
      </c>
      <c r="U7" s="103">
        <v>0</v>
      </c>
      <c r="V7" s="103">
        <v>0</v>
      </c>
      <c r="W7" s="103">
        <f ca="1">100%-(SUM(J7:V7))</f>
        <v>4.182367068330195E-3</v>
      </c>
    </row>
    <row r="8" spans="1:23" x14ac:dyDescent="0.15">
      <c r="A8" s="92" t="s">
        <v>321</v>
      </c>
      <c r="B8" s="95">
        <f ca="1">SUMIF('Data - Průběžky 2021'!$E$3:$J$238,'Průběžky 2021 - rozdělení'!A8,'Data - Průběžky 2021'!$J$3:$J$238)</f>
        <v>57572044.409999996</v>
      </c>
      <c r="D8" s="92">
        <v>127.2</v>
      </c>
      <c r="E8" s="95"/>
      <c r="F8" s="95">
        <f ca="1">B8/D8</f>
        <v>452610.41202830186</v>
      </c>
      <c r="G8" s="95"/>
      <c r="H8" s="95">
        <f ca="1">F8/12</f>
        <v>37717.534335691824</v>
      </c>
      <c r="J8" s="95">
        <f ca="1">SUMIF('Data - Průběžky 2021'!$E$3:$AG$238,'Průběžky 2021 - rozdělení'!A8,'Data - Průběžky 2021'!$L$3:$L$237)</f>
        <v>43287842</v>
      </c>
      <c r="K8" s="95">
        <v>3269620</v>
      </c>
      <c r="L8" s="95">
        <f ca="1">SUMIF('Data - Průběžky 2021'!$E$3:$N$238,'Průběžky 2021 - rozdělení'!A8,'Data - Průběžky 2021'!$N$3:$N$238)</f>
        <v>1497000</v>
      </c>
      <c r="M8" s="95">
        <f ca="1">SUMIF('Data - Průběžky 2021'!$E$3:$R$238,'Průběžky 2021 - rozdělení'!A8,'Data - Průběžky 2021'!$O$3:$O$238)+SUMIF('Data - Průběžky 2021'!$E$3:$R$238,'Průběžky 2021 - rozdělení'!A8,'Data - Průběžky 2021'!$P$3:$P$238)+SUMIF('Data - Průběžky 2021'!$E$3:$R$238,'Průběžky 2021 - rozdělení'!A8,'Data - Průběžky 2021'!$Q$3:$Q$238)+SUMIF('Data - Průběžky 2021'!$E$3:$R$238,'Průběžky 2021 - rozdělení'!A8,'Data - Průběžky 2021'!$R$3:$R$238)</f>
        <v>0</v>
      </c>
      <c r="N8" s="95">
        <f ca="1">SUMIF('Data - Průběžky 2021'!$E$3:$AG$238,'Průběžky 2021 - rozdělení'!A8,'Data - Průběžky 2021'!$S$3:$S$237)</f>
        <v>3527390</v>
      </c>
      <c r="O8" s="95">
        <f ca="1">SUMIF('Data - Průběžky 2021'!$E$3:$AG$238,'Průběžky 2021 - rozdělení'!A8,'Data - Průběžky 2021'!$T$3:$T$237)</f>
        <v>0</v>
      </c>
      <c r="P8" s="95">
        <f ca="1">SUMIF('Data - Průběžky 2021'!$E$3:$AG$238,'Průběžky 2021 - rozdělení'!A8,'Data - Průběžky 2021'!$U$3:$U$237)</f>
        <v>0</v>
      </c>
      <c r="Q8" s="95">
        <f ca="1">SUMIF('Data - Průběžky 2021'!$E$3:$AG$238,'Průběžky 2021 - rozdělení'!A8,'Data - Průběžky 2021'!$V$3:$V$237)</f>
        <v>20008</v>
      </c>
      <c r="R8" s="95">
        <f ca="1">SUMIF('Data - Průběžky 2021'!$E$3:$AG$238,'Průběžky 2021 - rozdělení'!A8,'Data - Průběžky 2021'!$W$3:$W$237)+SUMIF('Data - Průběžky 2021'!$E$3:$AG$238,'Průběžky 2021 - rozdělení'!A8,'Data - Průběžky 2021'!$X$3:$X$237)</f>
        <v>0</v>
      </c>
      <c r="S8" s="95">
        <f ca="1">SUMIF('Data - Průběžky 2021'!$E$3:$AG$238,'Průběžky 2021 - rozdělení'!A8,'Data - Průběžky 2021'!$Z$3:$Z$237)</f>
        <v>5665282</v>
      </c>
      <c r="T8" s="95">
        <f ca="1">SUMIF('Data - Průběžky 2021'!$E$3:$AG$238,'Průběžky 2021 - rozdělení'!A8,'Data - Průběžky 2021'!$AB$3:$AB$237)</f>
        <v>0</v>
      </c>
      <c r="U8" s="95">
        <f ca="1">SUMIF('Data - Průběžky 2021'!$E$3:$AG$238,'Průběžky 2021 - rozdělení'!A8,'Data - Průběžky 2021'!$AC$3:$AC$237)</f>
        <v>0</v>
      </c>
      <c r="V8" s="92">
        <f ca="1">SUMIF('Data - Průběžky 2021'!$E$3:$AG$238,'Průběžky 2021 - rozdělení'!A8,'Data - Průběžky 2021'!$AA$3:$AA$237)</f>
        <v>145231</v>
      </c>
      <c r="W8" s="92">
        <f ca="1">SUMIF('Data - Průběžky 2021'!$E$3:$AG$238,'Průběžky 2021 - rozdělení'!A8,'Data - Průběžky 2021'!$AD$3:$AD$237)+SUMIF('Data - Průběžky 2021'!$E$3:$AG$238,'Průběžky 2021 - rozdělení'!A8,'Data - Průběžky 2021'!$AE$3:$AE$237)+SUMIF('Data - Průběžky 2021'!$E$3:$AG$238,'Průběžky 2021 - rozdělení'!A8,'Data - Průběžky 2021'!$AF$3:$AF$237)+SUMIF('Data - Průběžky 2021'!$E$3:$AG$238,'Průběžky 2021 - rozdělení'!A8,'Data - Průběžky 2021'!$AG$3:$AG$237)</f>
        <v>159671.41</v>
      </c>
    </row>
    <row r="9" spans="1:23" x14ac:dyDescent="0.15">
      <c r="B9" s="95"/>
      <c r="E9" s="95"/>
      <c r="F9" s="95"/>
      <c r="G9" s="95"/>
      <c r="H9" s="95"/>
      <c r="J9" s="100">
        <f ca="1">J8/$B$8</f>
        <v>0.75188995707230966</v>
      </c>
      <c r="K9" s="100">
        <f t="shared" ref="K9:W9" ca="1" si="1">K8/$B$8</f>
        <v>5.6791799448971489E-2</v>
      </c>
      <c r="L9" s="100">
        <f t="shared" ca="1" si="1"/>
        <v>2.6002203245365004E-2</v>
      </c>
      <c r="M9" s="100">
        <f t="shared" ca="1" si="1"/>
        <v>0</v>
      </c>
      <c r="N9" s="100">
        <f t="shared" ca="1" si="1"/>
        <v>6.1269146095970645E-2</v>
      </c>
      <c r="O9" s="100">
        <f t="shared" ca="1" si="1"/>
        <v>0</v>
      </c>
      <c r="P9" s="100">
        <f t="shared" ca="1" si="1"/>
        <v>0</v>
      </c>
      <c r="Q9" s="100">
        <f t="shared" ca="1" si="1"/>
        <v>3.4752978125134466E-4</v>
      </c>
      <c r="R9" s="100">
        <f t="shared" ca="1" si="1"/>
        <v>0</v>
      </c>
      <c r="S9" s="100">
        <f t="shared" ca="1" si="1"/>
        <v>9.8403349369611176E-2</v>
      </c>
      <c r="T9" s="100">
        <f t="shared" ca="1" si="1"/>
        <v>0</v>
      </c>
      <c r="U9" s="100">
        <f t="shared" ca="1" si="1"/>
        <v>0</v>
      </c>
      <c r="V9" s="100">
        <f t="shared" ca="1" si="1"/>
        <v>2.5225958447078188E-3</v>
      </c>
      <c r="W9" s="100">
        <f t="shared" ca="1" si="1"/>
        <v>2.7734191418129633E-3</v>
      </c>
    </row>
    <row r="10" spans="1:23" x14ac:dyDescent="0.15">
      <c r="A10" s="153" t="s">
        <v>325</v>
      </c>
      <c r="B10" s="154">
        <f ca="1">SUMIF('Data - Průběžky 2021'!$E$3:$J$238,'Průběžky 2021 - rozdělení'!A10,'Data - Průběžky 2021'!$J$3:$J$238)</f>
        <v>175949472.79000002</v>
      </c>
      <c r="C10" s="153"/>
      <c r="D10" s="153">
        <v>306.85000000000002</v>
      </c>
      <c r="E10" s="154"/>
      <c r="F10" s="154">
        <f ca="1">B10/D10</f>
        <v>573405.48408016947</v>
      </c>
      <c r="G10" s="154"/>
      <c r="H10" s="154">
        <f ca="1">F10/12</f>
        <v>47783.790340014122</v>
      </c>
      <c r="I10" s="153"/>
      <c r="J10" s="154">
        <f ca="1">SUMIF('Data - Průběžky 2021'!$E$3:$AG$238,'Průběžky 2021 - rozdělení'!A10,'Data - Průběžky 2021'!$L$3:$L$237)</f>
        <v>81381000</v>
      </c>
      <c r="K10" s="154">
        <v>0</v>
      </c>
      <c r="L10" s="154">
        <f ca="1">SUMIF('Data - Průběžky 2021'!$E$3:$N$238,'Průběžky 2021 - rozdělení'!A10,'Data - Průběžky 2021'!$N$3:$N$238)</f>
        <v>639000</v>
      </c>
      <c r="M10" s="154">
        <f ca="1">SUMIF('Data - Průběžky 2021'!$E$3:$R$238,'Průběžky 2021 - rozdělení'!A10,'Data - Průběžky 2021'!$O$3:$O$238)+SUMIF('Data - Průběžky 2021'!$E$3:$R$238,'Průběžky 2021 - rozdělení'!A10,'Data - Průběžky 2021'!$P$3:$P$238)+SUMIF('Data - Průběžky 2021'!$E$3:$R$238,'Průběžky 2021 - rozdělení'!A10,'Data - Průběžky 2021'!$Q$3:$Q$238)+SUMIF('Data - Průběžky 2021'!$E$3:$R$238,'Průběžky 2021 - rozdělení'!A10,'Data - Průběžky 2021'!$R$3:$R$238)</f>
        <v>0</v>
      </c>
      <c r="N10" s="154">
        <f ca="1">SUMIF('Data - Průběžky 2021'!$E$3:$AG$238,'Průběžky 2021 - rozdělení'!A10,'Data - Průběžky 2021'!$S$3:$S$237)</f>
        <v>2736088.9699999997</v>
      </c>
      <c r="O10" s="154">
        <f ca="1">SUMIF('Data - Průběžky 2021'!$E$3:$AG$238,'Průběžky 2021 - rozdělení'!A10,'Data - Průběžky 2021'!$T$3:$T$237)</f>
        <v>63611771</v>
      </c>
      <c r="P10" s="154">
        <f ca="1">SUMIF('Data - Průběžky 2021'!$E$3:$AG$238,'Průběžky 2021 - rozdělení'!A10,'Data - Průběžky 2021'!$U$3:$U$237)</f>
        <v>0</v>
      </c>
      <c r="Q10" s="154">
        <f ca="1">SUMIF('Data - Průběžky 2021'!$E$3:$AG$238,'Průběžky 2021 - rozdělení'!A10,'Data - Průběžky 2021'!$V$3:$V$237)</f>
        <v>0</v>
      </c>
      <c r="R10" s="154">
        <f ca="1">SUMIF('Data - Průběžky 2021'!$E$3:$AG$238,'Průběžky 2021 - rozdělení'!A10,'Data - Průběžky 2021'!$W$3:$W$237)+SUMIF('Data - Průběžky 2021'!$E$3:$AG$238,'Průběžky 2021 - rozdělení'!A10,'Data - Průběžky 2021'!$X$3:$X$237)</f>
        <v>85900</v>
      </c>
      <c r="S10" s="154">
        <f ca="1">SUMIF('Data - Průběžky 2021'!$E$3:$AG$238,'Průběžky 2021 - rozdělení'!A10,'Data - Průběžky 2021'!$Z$3:$Z$237)</f>
        <v>16622179.219999999</v>
      </c>
      <c r="T10" s="154">
        <f ca="1">SUMIF('Data - Průběžky 2021'!$E$3:$AG$238,'Průběžky 2021 - rozdělení'!A10,'Data - Průběžky 2021'!$AB$3:$AB$237)</f>
        <v>25612</v>
      </c>
      <c r="U10" s="154">
        <f ca="1">SUMIF('Data - Průběžky 2021'!$E$3:$AG$238,'Průběžky 2021 - rozdělení'!A10,'Data - Průběžky 2021'!$AC$3:$AC$237)</f>
        <v>9445076.8299999982</v>
      </c>
      <c r="V10" s="153">
        <f ca="1">SUMIF('Data - Průběžky 2021'!$E$3:$AG$238,'Průběžky 2021 - rozdělení'!A10,'Data - Průběžky 2021'!$AA$3:$AA$237)</f>
        <v>28044</v>
      </c>
      <c r="W10" s="153">
        <f ca="1">SUMIF('Data - Průběžky 2021'!$E$3:$AG$238,'Průběžky 2021 - rozdělení'!A10,'Data - Průběžky 2021'!$AD$3:$AD$237)+SUMIF('Data - Průběžky 2021'!$E$3:$AG$238,'Průběžky 2021 - rozdělení'!A10,'Data - Průběžky 2021'!$AE$3:$AE$237)+SUMIF('Data - Průběžky 2021'!$E$3:$AG$238,'Průběžky 2021 - rozdělení'!A10,'Data - Průběžky 2021'!$AF$3:$AF$237)+SUMIF('Data - Průběžky 2021'!$E$3:$AG$238,'Průběžky 2021 - rozdělení'!A10,'Data - Průběžky 2021'!$AG$3:$AG$237)</f>
        <v>1374800.77</v>
      </c>
    </row>
    <row r="11" spans="1:23" x14ac:dyDescent="0.15">
      <c r="A11" s="153"/>
      <c r="B11" s="154"/>
      <c r="C11" s="153"/>
      <c r="D11" s="153"/>
      <c r="E11" s="154"/>
      <c r="F11" s="154"/>
      <c r="G11" s="154"/>
      <c r="H11" s="154"/>
      <c r="I11" s="153"/>
      <c r="J11" s="155">
        <f ca="1">J10/$B$10</f>
        <v>0.46252483005237649</v>
      </c>
      <c r="K11" s="155">
        <f t="shared" ref="K11:W11" ca="1" si="2">K10/$B$10</f>
        <v>0</v>
      </c>
      <c r="L11" s="155">
        <f t="shared" ca="1" si="2"/>
        <v>3.631724436950499E-3</v>
      </c>
      <c r="M11" s="155">
        <f t="shared" ca="1" si="2"/>
        <v>0</v>
      </c>
      <c r="N11" s="155">
        <f t="shared" ca="1" si="2"/>
        <v>1.5550424372487825E-2</v>
      </c>
      <c r="O11" s="155">
        <f t="shared" ca="1" si="2"/>
        <v>0.36153430863599234</v>
      </c>
      <c r="P11" s="155">
        <f t="shared" ca="1" si="2"/>
        <v>0</v>
      </c>
      <c r="Q11" s="155">
        <f t="shared" ca="1" si="2"/>
        <v>0</v>
      </c>
      <c r="R11" s="155">
        <f t="shared" ca="1" si="2"/>
        <v>4.8820833980289184E-4</v>
      </c>
      <c r="S11" s="155">
        <f t="shared" ca="1" si="2"/>
        <v>9.4471321547174927E-2</v>
      </c>
      <c r="T11" s="155">
        <f t="shared" ca="1" si="2"/>
        <v>1.4556451686882033E-4</v>
      </c>
      <c r="U11" s="155">
        <f t="shared" ca="1" si="2"/>
        <v>5.3680620238475661E-2</v>
      </c>
      <c r="V11" s="155">
        <f t="shared" ca="1" si="2"/>
        <v>1.5938666683855992E-4</v>
      </c>
      <c r="W11" s="155">
        <f t="shared" ca="1" si="2"/>
        <v>7.8136111930318664E-3</v>
      </c>
    </row>
    <row r="12" spans="1:23" x14ac:dyDescent="0.15">
      <c r="A12" s="92" t="s">
        <v>293</v>
      </c>
      <c r="B12" s="95">
        <f ca="1">SUMIF('Data - Průběžky 2021'!$E$3:$J$238,'Průběžky 2021 - rozdělení'!A12,'Data - Průběžky 2021'!$J$3:$J$238)</f>
        <v>22156258</v>
      </c>
      <c r="D12" s="92">
        <v>5.4</v>
      </c>
      <c r="E12" s="95"/>
      <c r="F12" s="95">
        <f ca="1">B12/D12</f>
        <v>4103010.7407407407</v>
      </c>
      <c r="G12" s="95"/>
      <c r="H12" s="95">
        <f ca="1">F12/12</f>
        <v>341917.56172839506</v>
      </c>
      <c r="J12" s="95">
        <f ca="1">SUMIF('Data - Průběžky 2021'!$E$3:$AG$238,'Průběžky 2021 - rozdělení'!A12,'Data - Průběžky 2021'!$L$3:$L$237)</f>
        <v>19666500</v>
      </c>
      <c r="K12" s="95">
        <v>0</v>
      </c>
      <c r="L12" s="95">
        <f ca="1">SUMIF('Data - Průběžky 2021'!$E$3:$N$238,'Průběžky 2021 - rozdělení'!A12,'Data - Průběžky 2021'!$N$3:$N$238)</f>
        <v>81000</v>
      </c>
      <c r="M12" s="95">
        <f ca="1">SUMIF('Data - Průběžky 2021'!$E$3:$R$238,'Průběžky 2021 - rozdělení'!A12,'Data - Průběžky 2021'!$O$3:$O$238)+SUMIF('Data - Průběžky 2021'!$E$3:$R$238,'Průběžky 2021 - rozdělení'!A12,'Data - Průběžky 2021'!$P$3:$P$238)+SUMIF('Data - Průběžky 2021'!$E$3:$R$238,'Průběžky 2021 - rozdělení'!A12,'Data - Průběžky 2021'!$Q$3:$Q$238)+SUMIF('Data - Průběžky 2021'!$E$3:$R$238,'Průběžky 2021 - rozdělení'!A12,'Data - Průběžky 2021'!$R$3:$R$238)</f>
        <v>5959</v>
      </c>
      <c r="N12" s="95">
        <f ca="1">SUMIF('Data - Průběžky 2021'!$E$3:$AG$238,'Průběžky 2021 - rozdělení'!A12,'Data - Průběžky 2021'!$S$3:$S$237)</f>
        <v>245000</v>
      </c>
      <c r="O12" s="95">
        <f ca="1">SUMIF('Data - Průběžky 2021'!$E$3:$AG$238,'Průběžky 2021 - rozdělení'!A12,'Data - Průběžky 2021'!$T$3:$T$237)</f>
        <v>0</v>
      </c>
      <c r="P12" s="95">
        <f ca="1">SUMIF('Data - Průběžky 2021'!$E$3:$AG$238,'Průběžky 2021 - rozdělení'!A12,'Data - Průběžky 2021'!$U$3:$U$237)</f>
        <v>0</v>
      </c>
      <c r="Q12" s="95">
        <f ca="1">SUMIF('Data - Průběžky 2021'!$E$3:$AG$238,'Průběžky 2021 - rozdělení'!A12,'Data - Průběžky 2021'!$V$3:$V$237)</f>
        <v>0</v>
      </c>
      <c r="R12" s="95">
        <f ca="1">SUMIF('Data - Průběžky 2021'!$E$3:$AG$238,'Průběžky 2021 - rozdělení'!A12,'Data - Průběžky 2021'!$W$3:$W$237)+SUMIF('Data - Průběžky 2021'!$E$3:$AG$238,'Průběžky 2021 - rozdělení'!A12,'Data - Průběžky 2021'!$X$3:$X$237)</f>
        <v>146173</v>
      </c>
      <c r="S12" s="95">
        <f ca="1">SUMIF('Data - Průběžky 2021'!$E$3:$AG$238,'Průběžky 2021 - rozdělení'!A12,'Data - Průběžky 2021'!$Z$3:$Z$237)</f>
        <v>580228</v>
      </c>
      <c r="T12" s="95">
        <f ca="1">SUMIF('Data - Průběžky 2021'!$E$3:$AG$238,'Průběžky 2021 - rozdělení'!A12,'Data - Průběžky 2021'!$AB$3:$AB$237)</f>
        <v>0</v>
      </c>
      <c r="U12" s="95">
        <f ca="1">SUMIF('Data - Průběžky 2021'!$E$3:$AG$238,'Průběžky 2021 - rozdělení'!A12,'Data - Průběžky 2021'!$AC$3:$AC$237)</f>
        <v>0</v>
      </c>
      <c r="V12" s="92">
        <f ca="1">SUMIF('Data - Průběžky 2021'!$E$3:$AG$238,'Průběžky 2021 - rozdělení'!A12,'Data - Průběžky 2021'!$AA$3:$AA$237)</f>
        <v>595531</v>
      </c>
      <c r="W12" s="92">
        <f ca="1">SUMIF('Data - Průběžky 2021'!$E$3:$AG$238,'Průběžky 2021 - rozdělení'!A12,'Data - Průběžky 2021'!$AD$3:$AD$237)+SUMIF('Data - Průběžky 2021'!$E$3:$AG$238,'Průběžky 2021 - rozdělení'!A12,'Data - Průběžky 2021'!$AE$3:$AE$237)+SUMIF('Data - Průběžky 2021'!$E$3:$AG$238,'Průběžky 2021 - rozdělení'!A12,'Data - Průběžky 2021'!$AF$3:$AF$237)+SUMIF('Data - Průběžky 2021'!$E$3:$AG$238,'Průběžky 2021 - rozdělení'!A12,'Data - Průběžky 2021'!$AG$3:$AG$237)</f>
        <v>835867</v>
      </c>
    </row>
    <row r="13" spans="1:23" x14ac:dyDescent="0.15">
      <c r="B13" s="95"/>
      <c r="E13" s="95"/>
      <c r="F13" s="95"/>
      <c r="G13" s="95"/>
      <c r="H13" s="95"/>
      <c r="J13" s="100">
        <f ca="1">J12/$B$12</f>
        <v>0.88762732407250355</v>
      </c>
      <c r="K13" s="100">
        <f t="shared" ref="K13:W13" ca="1" si="3">K12/$B$12</f>
        <v>0</v>
      </c>
      <c r="L13" s="100">
        <f t="shared" ca="1" si="3"/>
        <v>3.6558519945019598E-3</v>
      </c>
      <c r="M13" s="100">
        <f t="shared" ca="1" si="3"/>
        <v>2.6895335845971823E-4</v>
      </c>
      <c r="N13" s="100">
        <f t="shared" ca="1" si="3"/>
        <v>1.105782393398741E-2</v>
      </c>
      <c r="O13" s="100">
        <f t="shared" ca="1" si="3"/>
        <v>0</v>
      </c>
      <c r="P13" s="100">
        <f t="shared" ca="1" si="3"/>
        <v>0</v>
      </c>
      <c r="Q13" s="100">
        <f t="shared" ca="1" si="3"/>
        <v>0</v>
      </c>
      <c r="R13" s="100">
        <f t="shared" ca="1" si="3"/>
        <v>6.5973685628683328E-3</v>
      </c>
      <c r="S13" s="100">
        <f t="shared" ca="1" si="3"/>
        <v>2.6187996185998555E-2</v>
      </c>
      <c r="T13" s="100">
        <f t="shared" ca="1" si="3"/>
        <v>0</v>
      </c>
      <c r="U13" s="100">
        <f t="shared" ca="1" si="3"/>
        <v>0</v>
      </c>
      <c r="V13" s="100">
        <f t="shared" ca="1" si="3"/>
        <v>2.6878681409107982E-2</v>
      </c>
      <c r="W13" s="100">
        <f t="shared" ca="1" si="3"/>
        <v>3.7726000482572464E-2</v>
      </c>
    </row>
    <row r="14" spans="1:23" x14ac:dyDescent="0.15">
      <c r="A14" s="153" t="s">
        <v>459</v>
      </c>
      <c r="B14" s="154">
        <f ca="1">SUMIF('Data - Průběžky 2021'!$E$3:$J$238,'Průběžky 2021 - rozdělení'!A14,'Data - Průběžky 2021'!$J$3:$J$238)</f>
        <v>255741</v>
      </c>
      <c r="C14" s="153"/>
      <c r="D14" s="153">
        <v>0.75</v>
      </c>
      <c r="E14" s="154"/>
      <c r="F14" s="154">
        <f ca="1">B14/D14</f>
        <v>340988</v>
      </c>
      <c r="G14" s="154"/>
      <c r="H14" s="154">
        <f ca="1">F14/12</f>
        <v>28415.666666666668</v>
      </c>
      <c r="I14" s="153"/>
      <c r="J14" s="154">
        <f ca="1">SUMIF('Data - Průběžky 2021'!$E$3:$AG$238,'Průběžky 2021 - rozdělení'!A14,'Data - Průběžky 2021'!$L$3:$L$237)</f>
        <v>216000</v>
      </c>
      <c r="K14" s="154">
        <v>0</v>
      </c>
      <c r="L14" s="154">
        <f ca="1">SUMIF('Data - Průběžky 2021'!$E$3:$N$238,'Průběžky 2021 - rozdělení'!A14,'Data - Průběžky 2021'!$N$3:$N$238)</f>
        <v>0</v>
      </c>
      <c r="M14" s="154">
        <f ca="1">SUMIF('Data - Průběžky 2021'!$E$3:$R$238,'Průběžky 2021 - rozdělení'!A14,'Data - Průběžky 2021'!$O$3:$O$238)+SUMIF('Data - Průběžky 2021'!$E$3:$R$238,'Průběžky 2021 - rozdělení'!A14,'Data - Průběžky 2021'!$P$3:$P$238)+SUMIF('Data - Průběžky 2021'!$E$3:$R$238,'Průběžky 2021 - rozdělení'!A14,'Data - Průběžky 2021'!$Q$3:$Q$238)+SUMIF('Data - Průběžky 2021'!$E$3:$R$238,'Průběžky 2021 - rozdělení'!A14,'Data - Průběžky 2021'!$R$3:$R$238)</f>
        <v>0</v>
      </c>
      <c r="N14" s="154">
        <f ca="1">SUMIF('Data - Průběžky 2021'!$E$3:$AG$238,'Průběžky 2021 - rozdělení'!A14,'Data - Průběžky 2021'!$S$3:$S$237)</f>
        <v>0</v>
      </c>
      <c r="O14" s="154">
        <f ca="1">SUMIF('Data - Průběžky 2021'!$E$3:$AG$238,'Průběžky 2021 - rozdělení'!A14,'Data - Průběžky 2021'!$T$3:$T$237)</f>
        <v>0</v>
      </c>
      <c r="P14" s="154">
        <f ca="1">SUMIF('Data - Průběžky 2021'!$E$3:$AG$238,'Průběžky 2021 - rozdělení'!A14,'Data - Průběžky 2021'!$U$3:$U$237)</f>
        <v>0</v>
      </c>
      <c r="Q14" s="154">
        <f ca="1">SUMIF('Data - Průběžky 2021'!$E$3:$AG$238,'Průběžky 2021 - rozdělení'!A14,'Data - Průběžky 2021'!$V$3:$V$237)</f>
        <v>0</v>
      </c>
      <c r="R14" s="154">
        <f ca="1">SUMIF('Data - Průběžky 2021'!$E$3:$AG$238,'Průběžky 2021 - rozdělení'!A14,'Data - Průběžky 2021'!$W$3:$W$237)+SUMIF('Data - Průběžky 2021'!$E$3:$AG$238,'Průběžky 2021 - rozdělení'!A14,'Data - Průběžky 2021'!$X$3:$X$237)</f>
        <v>0</v>
      </c>
      <c r="S14" s="154">
        <f ca="1">SUMIF('Data - Průběžky 2021'!$E$3:$AG$238,'Průběžky 2021 - rozdělení'!A14,'Data - Průběžky 2021'!$Z$3:$Z$237)</f>
        <v>4500</v>
      </c>
      <c r="T14" s="154">
        <f ca="1">SUMIF('Data - Průběžky 2021'!$E$3:$AG$238,'Průběžky 2021 - rozdělení'!A14,'Data - Průběžky 2021'!$AB$3:$AB$237)</f>
        <v>0</v>
      </c>
      <c r="U14" s="154">
        <f ca="1">SUMIF('Data - Průběžky 2021'!$E$3:$AG$238,'Průběžky 2021 - rozdělení'!A14,'Data - Průběžky 2021'!$AC$3:$AC$237)</f>
        <v>0</v>
      </c>
      <c r="V14" s="153">
        <f ca="1">SUMIF('Data - Průběžky 2021'!$E$3:$AG$238,'Průběžky 2021 - rozdělení'!A14,'Data - Průběžky 2021'!$AA$3:$AA$237)</f>
        <v>35241</v>
      </c>
      <c r="W14" s="153">
        <f ca="1">SUMIF('Data - Průběžky 2021'!$E$3:$AG$238,'Průběžky 2021 - rozdělení'!A14,'Data - Průběžky 2021'!$AD$3:$AD$237)+SUMIF('Data - Průběžky 2021'!$E$3:$AG$238,'Průběžky 2021 - rozdělení'!A14,'Data - Průběžky 2021'!$AE$3:$AE$237)+SUMIF('Data - Průběžky 2021'!$E$3:$AG$238,'Průběžky 2021 - rozdělení'!A14,'Data - Průběžky 2021'!$AF$3:$AF$237)+SUMIF('Data - Průběžky 2021'!$E$3:$AG$238,'Průběžky 2021 - rozdělení'!A14,'Data - Průběžky 2021'!$AG$3:$AG$237)</f>
        <v>0</v>
      </c>
    </row>
    <row r="15" spans="1:23" x14ac:dyDescent="0.15">
      <c r="A15" s="153"/>
      <c r="B15" s="154"/>
      <c r="C15" s="153"/>
      <c r="D15" s="153"/>
      <c r="E15" s="154"/>
      <c r="F15" s="154"/>
      <c r="G15" s="154"/>
      <c r="H15" s="154"/>
      <c r="I15" s="153"/>
      <c r="J15" s="155">
        <f ca="1">J14/$B$14</f>
        <v>0.84460450221122152</v>
      </c>
      <c r="K15" s="155">
        <f t="shared" ref="K15:W15" ca="1" si="4">K14/$B$14</f>
        <v>0</v>
      </c>
      <c r="L15" s="155">
        <f t="shared" ca="1" si="4"/>
        <v>0</v>
      </c>
      <c r="M15" s="155">
        <f t="shared" ca="1" si="4"/>
        <v>0</v>
      </c>
      <c r="N15" s="155">
        <f t="shared" ca="1" si="4"/>
        <v>0</v>
      </c>
      <c r="O15" s="155">
        <f t="shared" ca="1" si="4"/>
        <v>0</v>
      </c>
      <c r="P15" s="155">
        <f t="shared" ca="1" si="4"/>
        <v>0</v>
      </c>
      <c r="Q15" s="155">
        <f t="shared" ca="1" si="4"/>
        <v>0</v>
      </c>
      <c r="R15" s="155">
        <f t="shared" ca="1" si="4"/>
        <v>0</v>
      </c>
      <c r="S15" s="155">
        <f t="shared" ca="1" si="4"/>
        <v>1.7595927129400449E-2</v>
      </c>
      <c r="T15" s="155">
        <f t="shared" ca="1" si="4"/>
        <v>0</v>
      </c>
      <c r="U15" s="155">
        <f t="shared" ca="1" si="4"/>
        <v>0</v>
      </c>
      <c r="V15" s="155">
        <f ca="1">V14/$B$14</f>
        <v>0.13779957065937803</v>
      </c>
      <c r="W15" s="155">
        <f t="shared" ca="1" si="4"/>
        <v>0</v>
      </c>
    </row>
    <row r="16" spans="1:23" x14ac:dyDescent="0.15">
      <c r="A16" s="92" t="s">
        <v>365</v>
      </c>
      <c r="B16" s="95">
        <f ca="1">SUMIF('Data - Průběžky 2021'!$E$3:$J$238,'Průběžky 2021 - rozdělení'!A16,'Data - Průběžky 2021'!$J$3:$J$238)</f>
        <v>12292290</v>
      </c>
      <c r="D16" s="92">
        <v>20.8</v>
      </c>
      <c r="E16" s="95"/>
      <c r="F16" s="95">
        <f ca="1">B16/D16</f>
        <v>590975.48076923075</v>
      </c>
      <c r="G16" s="95"/>
      <c r="H16" s="95">
        <f ca="1">F16/12</f>
        <v>49247.956730769227</v>
      </c>
      <c r="J16" s="95">
        <f ca="1">SUMIF('Data - Průběžky 2021'!$E$3:$AG$238,'Průběžky 2021 - rozdělení'!A16,'Data - Průběžky 2021'!$L$3:$L$237)</f>
        <v>10366500</v>
      </c>
      <c r="K16" s="95">
        <v>0</v>
      </c>
      <c r="L16" s="95">
        <f ca="1">SUMIF('Data - Průběžky 2021'!$E$3:$N$238,'Průběžky 2021 - rozdělení'!A16,'Data - Průběžky 2021'!$N$3:$N$238)</f>
        <v>536000</v>
      </c>
      <c r="M16" s="95">
        <f ca="1">SUMIF('Data - Průběžky 2021'!$E$3:$R$238,'Průběžky 2021 - rozdělení'!A16,'Data - Průběžky 2021'!$O$3:$O$238)+SUMIF('Data - Průběžky 2021'!$E$3:$R$238,'Průběžky 2021 - rozdělení'!A16,'Data - Průběžky 2021'!$P$3:$P$238)+SUMIF('Data - Průběžky 2021'!$E$3:$R$238,'Průběžky 2021 - rozdělení'!A16,'Data - Průběžky 2021'!$Q$3:$Q$238)+SUMIF('Data - Průběžky 2021'!$E$3:$R$238,'Průběžky 2021 - rozdělení'!A16,'Data - Průběžky 2021'!$R$3:$R$238)</f>
        <v>0</v>
      </c>
      <c r="N16" s="95">
        <f ca="1">SUMIF('Data - Průběžky 2021'!$E$3:$AG$238,'Průběžky 2021 - rozdělení'!A16,'Data - Průběžky 2021'!$S$3:$S$237)</f>
        <v>916060</v>
      </c>
      <c r="O16" s="95">
        <f ca="1">SUMIF('Data - Průběžky 2021'!$E$3:$AG$238,'Průběžky 2021 - rozdělení'!A16,'Data - Průběžky 2021'!$T$3:$T$237)</f>
        <v>0</v>
      </c>
      <c r="P16" s="95">
        <f ca="1">SUMIF('Data - Průběžky 2021'!$E$3:$AG$238,'Průběžky 2021 - rozdělení'!A16,'Data - Průběžky 2021'!$U$3:$U$237)</f>
        <v>0</v>
      </c>
      <c r="Q16" s="95">
        <f ca="1">SUMIF('Data - Průběžky 2021'!$E$3:$AG$238,'Průběžky 2021 - rozdělení'!A16,'Data - Průběžky 2021'!$V$3:$V$237)</f>
        <v>266338</v>
      </c>
      <c r="R16" s="95">
        <f ca="1">SUMIF('Data - Průběžky 2021'!$E$3:$AG$238,'Průběžky 2021 - rozdělení'!A16,'Data - Průběžky 2021'!$W$3:$W$237)+SUMIF('Data - Průběžky 2021'!$E$3:$AG$238,'Průběžky 2021 - rozdělení'!A16,'Data - Průběžky 2021'!$X$3:$X$237)</f>
        <v>0</v>
      </c>
      <c r="S16" s="95">
        <f ca="1">SUMIF('Data - Průběžky 2021'!$E$3:$AG$238,'Průběžky 2021 - rozdělení'!A16,'Data - Průběžky 2021'!$Z$3:$Z$237)</f>
        <v>207392</v>
      </c>
      <c r="T16" s="95">
        <f ca="1">SUMIF('Data - Průběžky 2021'!$E$3:$AG$238,'Průběžky 2021 - rozdělení'!A16,'Data - Průběžky 2021'!$AB$3:$AB$237)</f>
        <v>0</v>
      </c>
      <c r="U16" s="95">
        <f ca="1">SUMIF('Data - Průběžky 2021'!$E$3:$AG$238,'Průběžky 2021 - rozdělení'!A16,'Data - Průběžky 2021'!$AC$3:$AC$237)</f>
        <v>0</v>
      </c>
      <c r="V16" s="92">
        <f ca="1">SUMIF('Data - Průběžky 2021'!$E$3:$AG$238,'Průběžky 2021 - rozdělení'!A16,'Data - Průběžky 2021'!$AA$3:$AA$237)</f>
        <v>0</v>
      </c>
      <c r="W16" s="92">
        <f ca="1">SUMIF('Data - Průběžky 2021'!$E$3:$AG$238,'Průběžky 2021 - rozdělení'!A16,'Data - Průběžky 2021'!$AD$3:$AD$237)+SUMIF('Data - Průběžky 2021'!$E$3:$AG$238,'Průběžky 2021 - rozdělení'!A16,'Data - Průběžky 2021'!$AE$3:$AE$237)+SUMIF('Data - Průběžky 2021'!$E$3:$AG$238,'Průběžky 2021 - rozdělení'!A16,'Data - Průběžky 2021'!$AF$3:$AF$237)+SUMIF('Data - Průběžky 2021'!$E$3:$AG$238,'Průběžky 2021 - rozdělení'!A16,'Data - Průběžky 2021'!$AG$3:$AG$237)</f>
        <v>0</v>
      </c>
    </row>
    <row r="17" spans="1:23" x14ac:dyDescent="0.15">
      <c r="B17" s="95"/>
      <c r="E17" s="95"/>
      <c r="F17" s="95"/>
      <c r="G17" s="95"/>
      <c r="H17" s="95"/>
      <c r="J17" s="100">
        <f ca="1">J16/$B$16</f>
        <v>0.84333350417212738</v>
      </c>
      <c r="K17" s="100">
        <f t="shared" ref="K17:W17" ca="1" si="5">K16/$B$16</f>
        <v>0</v>
      </c>
      <c r="L17" s="100">
        <f t="shared" ca="1" si="5"/>
        <v>4.3604568392057133E-2</v>
      </c>
      <c r="M17" s="100">
        <f t="shared" ca="1" si="5"/>
        <v>0</v>
      </c>
      <c r="N17" s="100">
        <f t="shared" ca="1" si="5"/>
        <v>7.4523136047066896E-2</v>
      </c>
      <c r="O17" s="100">
        <f t="shared" ca="1" si="5"/>
        <v>0</v>
      </c>
      <c r="P17" s="100">
        <f t="shared" ca="1" si="5"/>
        <v>0</v>
      </c>
      <c r="Q17" s="100">
        <f t="shared" ca="1" si="5"/>
        <v>2.1667077493290509E-2</v>
      </c>
      <c r="R17" s="100">
        <f t="shared" ca="1" si="5"/>
        <v>0</v>
      </c>
      <c r="S17" s="100">
        <f t="shared" ca="1" si="5"/>
        <v>1.6871713895458048E-2</v>
      </c>
      <c r="T17" s="100">
        <f t="shared" ca="1" si="5"/>
        <v>0</v>
      </c>
      <c r="U17" s="100">
        <f t="shared" ca="1" si="5"/>
        <v>0</v>
      </c>
      <c r="V17" s="100">
        <f t="shared" ca="1" si="5"/>
        <v>0</v>
      </c>
      <c r="W17" s="100">
        <f t="shared" ca="1" si="5"/>
        <v>0</v>
      </c>
    </row>
    <row r="18" spans="1:23" x14ac:dyDescent="0.15">
      <c r="A18" s="153" t="s">
        <v>283</v>
      </c>
      <c r="B18" s="154">
        <f ca="1">SUMIF('Data - Průběžky 2021'!$E$3:$J$238,'Průběžky 2021 - rozdělení'!A18,'Data - Průběžky 2021'!$J$3:$J$238)</f>
        <v>34561571.82</v>
      </c>
      <c r="C18" s="153">
        <v>58</v>
      </c>
      <c r="D18" s="153">
        <v>62.475000000000001</v>
      </c>
      <c r="E18" s="154">
        <f>23740495.82/C18</f>
        <v>409318.89344827586</v>
      </c>
      <c r="F18" s="154">
        <f>10821076/D18</f>
        <v>173206.49859943977</v>
      </c>
      <c r="G18" s="154">
        <f>E18/12</f>
        <v>34109.907787356322</v>
      </c>
      <c r="H18" s="154">
        <f>F18/12</f>
        <v>14433.874883286648</v>
      </c>
      <c r="I18" s="153"/>
      <c r="J18" s="154">
        <f ca="1">SUMIF('Data - Průběžky 2021'!$E$3:$AG$238,'Průběžky 2021 - rozdělení'!A18,'Data - Průběžky 2021'!$L$3:$L$237)</f>
        <v>21069000</v>
      </c>
      <c r="K18" s="154">
        <v>1189525</v>
      </c>
      <c r="L18" s="154">
        <f ca="1">SUMIF('Data - Průběžky 2021'!$E$3:$N$238,'Průběžky 2021 - rozdělení'!A18,'Data - Průběžky 2021'!$N$3:$N$238)</f>
        <v>622000</v>
      </c>
      <c r="M18" s="154">
        <f ca="1">SUMIF('Data - Průběžky 2021'!$E$3:$R$238,'Průběžky 2021 - rozdělení'!A18,'Data - Průběžky 2021'!$O$3:$O$238)+SUMIF('Data - Průběžky 2021'!$E$3:$R$238,'Průběžky 2021 - rozdělení'!A18,'Data - Průběžky 2021'!$P$3:$P$238)+SUMIF('Data - Průběžky 2021'!$E$3:$R$238,'Průběžky 2021 - rozdělení'!A18,'Data - Průběžky 2021'!$Q$3:$Q$238)+SUMIF('Data - Průběžky 2021'!$E$3:$R$238,'Průběžky 2021 - rozdělení'!A18,'Data - Průběžky 2021'!$R$3:$R$238)</f>
        <v>0</v>
      </c>
      <c r="N18" s="154">
        <f ca="1">SUMIF('Data - Průběžky 2021'!$E$3:$AG$238,'Průběžky 2021 - rozdělení'!A18,'Data - Průběžky 2021'!$S$3:$S$237)</f>
        <v>985023</v>
      </c>
      <c r="O18" s="154">
        <f ca="1">SUMIF('Data - Průběžky 2021'!$E$3:$AG$238,'Průběžky 2021 - rozdělení'!A18,'Data - Průběžky 2021'!$T$3:$T$237)</f>
        <v>5808011</v>
      </c>
      <c r="P18" s="154">
        <f ca="1">SUMIF('Data - Průběžky 2021'!$E$3:$AG$238,'Průběžky 2021 - rozdělení'!A18,'Data - Průběžky 2021'!$U$3:$U$237)</f>
        <v>0</v>
      </c>
      <c r="Q18" s="154">
        <f ca="1">SUMIF('Data - Průběžky 2021'!$E$3:$AG$238,'Průběžky 2021 - rozdělení'!A18,'Data - Průběžky 2021'!$V$3:$V$237)</f>
        <v>0</v>
      </c>
      <c r="R18" s="154">
        <f ca="1">SUMIF('Data - Průběžky 2021'!$E$3:$AG$238,'Průběžky 2021 - rozdělení'!A18,'Data - Průběžky 2021'!$W$3:$W$237)+SUMIF('Data - Průběžky 2021'!$E$3:$AG$238,'Průběžky 2021 - rozdělení'!A18,'Data - Průběžky 2021'!$X$3:$X$237)</f>
        <v>0</v>
      </c>
      <c r="S18" s="154">
        <f ca="1">SUMIF('Data - Průběžky 2021'!$E$3:$AG$238,'Průběžky 2021 - rozdělení'!A18,'Data - Průběžky 2021'!$Z$3:$Z$237)</f>
        <v>4137367.87</v>
      </c>
      <c r="T18" s="154">
        <f ca="1">SUMIF('Data - Průběžky 2021'!$E$3:$AG$238,'Průběžky 2021 - rozdělení'!A18,'Data - Průběžky 2021'!$AB$3:$AB$237)</f>
        <v>41252.81</v>
      </c>
      <c r="U18" s="154">
        <f ca="1">SUMIF('Data - Průběžky 2021'!$E$3:$AG$238,'Průběžky 2021 - rozdělení'!A18,'Data - Průběžky 2021'!$AC$3:$AC$237)</f>
        <v>0</v>
      </c>
      <c r="V18" s="153">
        <f ca="1">SUMIF('Data - Průběžky 2021'!$E$3:$AG$238,'Průběžky 2021 - rozdělení'!A18,'Data - Průběžky 2021'!$AA$3:$AA$237)</f>
        <v>462750</v>
      </c>
      <c r="W18" s="153">
        <f ca="1">SUMIF('Data - Průběžky 2021'!$E$3:$AG$238,'Průběžky 2021 - rozdělení'!A18,'Data - Průběžky 2021'!$AD$3:$AD$237)+SUMIF('Data - Průběžky 2021'!$E$3:$AG$238,'Průběžky 2021 - rozdělení'!A18,'Data - Průběžky 2021'!$AE$3:$AE$237)+SUMIF('Data - Průběžky 2021'!$E$3:$AG$238,'Průběžky 2021 - rozdělení'!A18,'Data - Průběžky 2021'!$AF$3:$AF$237)+SUMIF('Data - Průběžky 2021'!$E$3:$AG$238,'Průběžky 2021 - rozdělení'!A18,'Data - Průběžky 2021'!$AG$3:$AG$237)</f>
        <v>246642.14</v>
      </c>
    </row>
    <row r="19" spans="1:23" x14ac:dyDescent="0.15">
      <c r="A19" s="153"/>
      <c r="B19" s="154"/>
      <c r="C19" s="153"/>
      <c r="D19" s="153"/>
      <c r="E19" s="154"/>
      <c r="F19" s="154"/>
      <c r="G19" s="154"/>
      <c r="H19" s="154"/>
      <c r="I19" s="153"/>
      <c r="J19" s="155">
        <f ca="1">J18/$B$18</f>
        <v>0.60960769115853253</v>
      </c>
      <c r="K19" s="155">
        <f t="shared" ref="K19:W19" ca="1" si="6">K18/$B$18</f>
        <v>3.4417560815670101E-2</v>
      </c>
      <c r="L19" s="155">
        <f t="shared" ca="1" si="6"/>
        <v>1.7996866671441798E-2</v>
      </c>
      <c r="M19" s="155">
        <f t="shared" ca="1" si="6"/>
        <v>0</v>
      </c>
      <c r="N19" s="155">
        <f t="shared" ca="1" si="6"/>
        <v>2.8500526686983302E-2</v>
      </c>
      <c r="O19" s="155">
        <f t="shared" ca="1" si="6"/>
        <v>0.168048230857343</v>
      </c>
      <c r="P19" s="155">
        <f t="shared" ca="1" si="6"/>
        <v>0</v>
      </c>
      <c r="Q19" s="155">
        <f t="shared" ca="1" si="6"/>
        <v>0</v>
      </c>
      <c r="R19" s="155">
        <f t="shared" ca="1" si="6"/>
        <v>0</v>
      </c>
      <c r="S19" s="155">
        <f t="shared" ca="1" si="6"/>
        <v>0.11971006097604041</v>
      </c>
      <c r="T19" s="155">
        <f t="shared" ca="1" si="6"/>
        <v>1.1936034105985865E-3</v>
      </c>
      <c r="U19" s="155">
        <f t="shared" ca="1" si="6"/>
        <v>0</v>
      </c>
      <c r="V19" s="155">
        <f t="shared" ca="1" si="6"/>
        <v>1.3389147993906256E-2</v>
      </c>
      <c r="W19" s="155">
        <f t="shared" ca="1" si="6"/>
        <v>7.1363114294840544E-3</v>
      </c>
    </row>
    <row r="20" spans="1:23" x14ac:dyDescent="0.15">
      <c r="A20" s="92" t="s">
        <v>297</v>
      </c>
      <c r="B20" s="95">
        <f ca="1">SUMIF('Data - Průběžky 2021'!$E$3:$J$238,'Průběžky 2021 - rozdělení'!A20,'Data - Průběžky 2021'!$J$3:$J$238)</f>
        <v>31576663.23</v>
      </c>
      <c r="D20" s="92">
        <v>46.319999999999993</v>
      </c>
      <c r="E20" s="95"/>
      <c r="F20" s="95">
        <f ca="1">B20/D20</f>
        <v>681706.8918393784</v>
      </c>
      <c r="G20" s="95"/>
      <c r="H20" s="95">
        <f ca="1">F20/12</f>
        <v>56808.907653281531</v>
      </c>
      <c r="J20" s="95">
        <f ca="1">SUMIF('Data - Průběžky 2021'!$E$3:$AG$238,'Průběžky 2021 - rozdělení'!A20,'Data - Průběžky 2021'!$L$3:$L$237)</f>
        <v>19739931</v>
      </c>
      <c r="K20" s="95">
        <v>9011450</v>
      </c>
      <c r="L20" s="95">
        <f ca="1">SUMIF('Data - Průběžky 2021'!$E$3:$N$238,'Průběžky 2021 - rozdělení'!A20,'Data - Průběžky 2021'!$N$3:$N$238)</f>
        <v>59000</v>
      </c>
      <c r="M20" s="95">
        <f ca="1">SUMIF('Data - Průběžky 2021'!$E$3:$R$238,'Průběžky 2021 - rozdělení'!A20,'Data - Průběžky 2021'!$O$3:$O$238)+SUMIF('Data - Průběžky 2021'!$E$3:$R$238,'Průběžky 2021 - rozdělení'!A20,'Data - Průběžky 2021'!$P$3:$P$238)+SUMIF('Data - Průběžky 2021'!$E$3:$R$238,'Průběžky 2021 - rozdělení'!A20,'Data - Průběžky 2021'!$Q$3:$Q$238)+SUMIF('Data - Průběžky 2021'!$E$3:$R$238,'Průběžky 2021 - rozdělení'!A20,'Data - Průběžky 2021'!$R$3:$R$238)</f>
        <v>0</v>
      </c>
      <c r="N20" s="95">
        <f ca="1">SUMIF('Data - Průběžky 2021'!$E$3:$AG$238,'Průběžky 2021 - rozdělení'!A20,'Data - Průběžky 2021'!$S$3:$S$237)</f>
        <v>74000</v>
      </c>
      <c r="O20" s="95">
        <f ca="1">SUMIF('Data - Průběžky 2021'!$E$3:$AG$238,'Průběžky 2021 - rozdělení'!A20,'Data - Průběžky 2021'!$T$3:$T$237)</f>
        <v>531000</v>
      </c>
      <c r="P20" s="95">
        <f ca="1">SUMIF('Data - Průběžky 2021'!$E$3:$AG$238,'Průběžky 2021 - rozdělení'!A20,'Data - Průběžky 2021'!$U$3:$U$237)</f>
        <v>0</v>
      </c>
      <c r="Q20" s="95">
        <f ca="1">SUMIF('Data - Průběžky 2021'!$E$3:$AG$238,'Průběžky 2021 - rozdělení'!A20,'Data - Průběžky 2021'!$V$3:$V$237)</f>
        <v>114564</v>
      </c>
      <c r="R20" s="95">
        <f ca="1">SUMIF('Data - Průběžky 2021'!$E$3:$AG$238,'Průběžky 2021 - rozdělení'!A20,'Data - Průběžky 2021'!$W$3:$W$237)+SUMIF('Data - Průběžky 2021'!$E$3:$AG$238,'Průběžky 2021 - rozdělení'!A20,'Data - Průběžky 2021'!$X$3:$X$237)</f>
        <v>60000</v>
      </c>
      <c r="S20" s="95">
        <f ca="1">SUMIF('Data - Průběžky 2021'!$E$3:$AG$238,'Průběžky 2021 - rozdělení'!A20,'Data - Průběžky 2021'!$Z$3:$Z$237)</f>
        <v>1908861</v>
      </c>
      <c r="T20" s="95">
        <f ca="1">SUMIF('Data - Průběžky 2021'!$E$3:$AG$238,'Průběžky 2021 - rozdělení'!A20,'Data - Průběžky 2021'!$AB$3:$AB$237)</f>
        <v>0</v>
      </c>
      <c r="U20" s="95">
        <f ca="1">SUMIF('Data - Průběžky 2021'!$E$3:$AG$238,'Průběžky 2021 - rozdělení'!A20,'Data - Průběžky 2021'!$AC$3:$AC$237)</f>
        <v>0</v>
      </c>
      <c r="V20" s="92">
        <f ca="1">SUMIF('Data - Průběžky 2021'!$E$3:$AG$238,'Průběžky 2021 - rozdělení'!A20,'Data - Průběžky 2021'!$AA$3:$AA$237)</f>
        <v>0</v>
      </c>
      <c r="W20" s="92">
        <f ca="1">SUMIF('Data - Průběžky 2021'!$E$3:$AG$238,'Průběžky 2021 - rozdělení'!A20,'Data - Průběžky 2021'!$AD$3:$AD$237)+SUMIF('Data - Průběžky 2021'!$E$3:$AG$238,'Průběžky 2021 - rozdělení'!A20,'Data - Průběžky 2021'!$AE$3:$AE$237)+SUMIF('Data - Průběžky 2021'!$E$3:$AG$238,'Průběžky 2021 - rozdělení'!A20,'Data - Průběžky 2021'!$AF$3:$AF$237)+SUMIF('Data - Průběžky 2021'!$E$3:$AG$238,'Průběžky 2021 - rozdělení'!A20,'Data - Průběžky 2021'!$AG$3:$AG$237)</f>
        <v>77857.23000000001</v>
      </c>
    </row>
    <row r="21" spans="1:23" x14ac:dyDescent="0.15">
      <c r="B21" s="95"/>
      <c r="E21" s="95"/>
      <c r="F21" s="95"/>
      <c r="G21" s="95"/>
      <c r="H21" s="95"/>
      <c r="J21" s="100">
        <f ca="1">J20/$B$20</f>
        <v>0.62514303225192291</v>
      </c>
      <c r="K21" s="100">
        <f t="shared" ref="K21:W21" ca="1" si="7">K20/$B$20</f>
        <v>0.28538322540167904</v>
      </c>
      <c r="L21" s="100">
        <f t="shared" ca="1" si="7"/>
        <v>1.8684684816205007E-3</v>
      </c>
      <c r="M21" s="100">
        <f t="shared" ca="1" si="7"/>
        <v>0</v>
      </c>
      <c r="N21" s="100">
        <f t="shared" ca="1" si="7"/>
        <v>2.3435028413545263E-3</v>
      </c>
      <c r="O21" s="100">
        <f t="shared" ca="1" si="7"/>
        <v>1.6816216334584508E-2</v>
      </c>
      <c r="P21" s="100">
        <f t="shared" ca="1" si="7"/>
        <v>0</v>
      </c>
      <c r="Q21" s="100">
        <f t="shared" ca="1" si="7"/>
        <v>3.6281224259045943E-3</v>
      </c>
      <c r="R21" s="100">
        <f t="shared" ca="1" si="7"/>
        <v>1.9001374389361026E-3</v>
      </c>
      <c r="S21" s="100">
        <f t="shared" ca="1" si="7"/>
        <v>6.0451637530416796E-2</v>
      </c>
      <c r="T21" s="100">
        <f t="shared" ca="1" si="7"/>
        <v>0</v>
      </c>
      <c r="U21" s="100">
        <f t="shared" ca="1" si="7"/>
        <v>0</v>
      </c>
      <c r="V21" s="100">
        <f t="shared" ca="1" si="7"/>
        <v>0</v>
      </c>
      <c r="W21" s="100">
        <f t="shared" ca="1" si="7"/>
        <v>2.465657293580985E-3</v>
      </c>
    </row>
    <row r="22" spans="1:23" x14ac:dyDescent="0.15">
      <c r="A22" s="153" t="s">
        <v>289</v>
      </c>
      <c r="B22" s="154">
        <f ca="1">SUMIF('Data - Průběžky 2021'!$E$3:$J$238,'Průběžky 2021 - rozdělení'!A22,'Data - Průběžky 2021'!$J$3:$J$238)</f>
        <v>29630194.639999997</v>
      </c>
      <c r="C22" s="153"/>
      <c r="D22" s="153">
        <v>44.710000000000008</v>
      </c>
      <c r="E22" s="154"/>
      <c r="F22" s="154">
        <f ca="1">B22/D22</f>
        <v>662719.62961306178</v>
      </c>
      <c r="G22" s="154"/>
      <c r="H22" s="154">
        <f ca="1">F22/12</f>
        <v>55226.63580108848</v>
      </c>
      <c r="I22" s="153"/>
      <c r="J22" s="154">
        <f ca="1">SUMIF('Data - Průběžky 2021'!$E$3:$AG$238,'Průběžky 2021 - rozdělení'!A22,'Data - Průběžky 2021'!$L$3:$L$237)</f>
        <v>21081822</v>
      </c>
      <c r="K22" s="154">
        <v>2527424</v>
      </c>
      <c r="L22" s="154">
        <f ca="1">SUMIF('Data - Průběžky 2021'!$E$3:$N$238,'Průběžky 2021 - rozdělení'!A22,'Data - Průběžky 2021'!$N$3:$N$238)</f>
        <v>111000</v>
      </c>
      <c r="M22" s="154">
        <f ca="1">SUMIF('Data - Průběžky 2021'!$E$3:$R$238,'Průběžky 2021 - rozdělení'!A22,'Data - Průběžky 2021'!$O$3:$O$238)+SUMIF('Data - Průběžky 2021'!$E$3:$R$238,'Průběžky 2021 - rozdělení'!A22,'Data - Průběžky 2021'!$P$3:$P$238)+SUMIF('Data - Průběžky 2021'!$E$3:$R$238,'Průběžky 2021 - rozdělení'!A22,'Data - Průběžky 2021'!$Q$3:$Q$238)+SUMIF('Data - Průběžky 2021'!$E$3:$R$238,'Průběžky 2021 - rozdělení'!A22,'Data - Průběžky 2021'!$R$3:$R$238)</f>
        <v>0</v>
      </c>
      <c r="N22" s="154">
        <f ca="1">SUMIF('Data - Průběžky 2021'!$E$3:$AG$238,'Průběžky 2021 - rozdělení'!A22,'Data - Průběžky 2021'!$S$3:$S$237)</f>
        <v>433125</v>
      </c>
      <c r="O22" s="154">
        <f ca="1">SUMIF('Data - Průběžky 2021'!$E$3:$AG$238,'Průběžky 2021 - rozdělení'!A22,'Data - Průběžky 2021'!$T$3:$T$237)</f>
        <v>2859344</v>
      </c>
      <c r="P22" s="154">
        <f ca="1">SUMIF('Data - Průběžky 2021'!$E$3:$AG$238,'Průběžky 2021 - rozdělení'!A22,'Data - Průběžky 2021'!$U$3:$U$237)</f>
        <v>0</v>
      </c>
      <c r="Q22" s="154">
        <f ca="1">SUMIF('Data - Průběžky 2021'!$E$3:$AG$238,'Průběžky 2021 - rozdělení'!A22,'Data - Průběžky 2021'!$V$3:$V$237)</f>
        <v>205414</v>
      </c>
      <c r="R22" s="154">
        <f ca="1">SUMIF('Data - Průběžky 2021'!$E$3:$AG$238,'Průběžky 2021 - rozdělení'!A22,'Data - Průběžky 2021'!$W$3:$W$237)+SUMIF('Data - Průběžky 2021'!$E$3:$AG$238,'Průběžky 2021 - rozdělení'!A22,'Data - Průběžky 2021'!$X$3:$X$237)</f>
        <v>0</v>
      </c>
      <c r="S22" s="154">
        <f ca="1">SUMIF('Data - Průběžky 2021'!$E$3:$AG$238,'Průběžky 2021 - rozdělení'!A22,'Data - Průběžky 2021'!$Z$3:$Z$237)</f>
        <v>1959199</v>
      </c>
      <c r="T22" s="154">
        <f ca="1">SUMIF('Data - Průběžky 2021'!$E$3:$AG$238,'Průběžky 2021 - rozdělení'!A22,'Data - Průběžky 2021'!$AB$3:$AB$237)</f>
        <v>214061.25</v>
      </c>
      <c r="U22" s="154">
        <f ca="1">SUMIF('Data - Průběžky 2021'!$E$3:$AG$238,'Průběžky 2021 - rozdělení'!A22,'Data - Průběžky 2021'!$AC$3:$AC$237)</f>
        <v>0</v>
      </c>
      <c r="V22" s="153">
        <f ca="1">SUMIF('Data - Průběžky 2021'!$E$3:$AG$238,'Průběžky 2021 - rozdělení'!A22,'Data - Průběžky 2021'!$AA$3:$AA$237)</f>
        <v>25000</v>
      </c>
      <c r="W22" s="153">
        <f ca="1">SUMIF('Data - Průběžky 2021'!$E$3:$AG$238,'Průběžky 2021 - rozdělení'!A22,'Data - Průběžky 2021'!$AD$3:$AD$237)+SUMIF('Data - Průběžky 2021'!$E$3:$AG$238,'Průběžky 2021 - rozdělení'!A22,'Data - Průběžky 2021'!$AE$3:$AE$237)+SUMIF('Data - Průběžky 2021'!$E$3:$AG$238,'Průběžky 2021 - rozdělení'!A22,'Data - Průběžky 2021'!$AF$3:$AF$237)+SUMIF('Data - Průběžky 2021'!$E$3:$AG$238,'Průběžky 2021 - rozdělení'!A22,'Data - Průběžky 2021'!$AG$3:$AG$237)</f>
        <v>213805.39</v>
      </c>
    </row>
    <row r="23" spans="1:23" x14ac:dyDescent="0.15">
      <c r="A23" s="153"/>
      <c r="B23" s="154"/>
      <c r="C23" s="153"/>
      <c r="D23" s="153"/>
      <c r="E23" s="154"/>
      <c r="F23" s="154"/>
      <c r="G23" s="154"/>
      <c r="H23" s="154"/>
      <c r="I23" s="153"/>
      <c r="J23" s="155">
        <f ca="1">J22/$B$22</f>
        <v>0.71149792487492081</v>
      </c>
      <c r="K23" s="155">
        <f t="shared" ref="K23:W23" ca="1" si="8">K22/$B$22</f>
        <v>8.5298933426108614E-2</v>
      </c>
      <c r="L23" s="155">
        <f t="shared" ca="1" si="8"/>
        <v>3.7461785637463506E-3</v>
      </c>
      <c r="M23" s="155">
        <f t="shared" ca="1" si="8"/>
        <v>0</v>
      </c>
      <c r="N23" s="155">
        <f t="shared" ca="1" si="8"/>
        <v>1.4617690003807551E-2</v>
      </c>
      <c r="O23" s="155">
        <f t="shared" ca="1" si="8"/>
        <v>9.650101981240311E-2</v>
      </c>
      <c r="P23" s="155">
        <f t="shared" ca="1" si="8"/>
        <v>0</v>
      </c>
      <c r="Q23" s="155">
        <f t="shared" ca="1" si="8"/>
        <v>6.9325903017422776E-3</v>
      </c>
      <c r="R23" s="155">
        <f t="shared" ca="1" si="8"/>
        <v>0</v>
      </c>
      <c r="S23" s="155">
        <f t="shared" ca="1" si="8"/>
        <v>6.6121705368588163E-2</v>
      </c>
      <c r="T23" s="155">
        <f t="shared" ca="1" si="8"/>
        <v>7.2244294241328687E-3</v>
      </c>
      <c r="U23" s="155">
        <f t="shared" ca="1" si="8"/>
        <v>0</v>
      </c>
      <c r="V23" s="155">
        <f t="shared" ca="1" si="8"/>
        <v>8.4373391075368259E-4</v>
      </c>
      <c r="W23" s="155">
        <f t="shared" ca="1" si="8"/>
        <v>7.2157943137966521E-3</v>
      </c>
    </row>
    <row r="24" spans="1:23" x14ac:dyDescent="0.15">
      <c r="A24" s="92" t="s">
        <v>334</v>
      </c>
      <c r="B24" s="95">
        <f ca="1">SUMIF('Data - Průběžky 2021'!$E$3:$J$238,'Průběžky 2021 - rozdělení'!A24,'Data - Průběžky 2021'!$J$3:$J$238)</f>
        <v>17555609.960000001</v>
      </c>
      <c r="C24" s="92">
        <v>34</v>
      </c>
      <c r="D24" s="92">
        <v>22.44</v>
      </c>
      <c r="E24" s="95">
        <f ca="1">B24/C24</f>
        <v>516341.46941176476</v>
      </c>
      <c r="F24" s="95"/>
      <c r="G24" s="95">
        <f ca="1">E24/12</f>
        <v>43028.45578431373</v>
      </c>
      <c r="H24" s="95"/>
      <c r="J24" s="95">
        <f ca="1">SUMIF('Data - Průběžky 2021'!$E$3:$AG$238,'Průběžky 2021 - rozdělení'!A24,'Data - Průběžky 2021'!$L$3:$L$237)</f>
        <v>11743171</v>
      </c>
      <c r="K24" s="95">
        <v>1863516</v>
      </c>
      <c r="L24" s="95">
        <f ca="1">SUMIF('Data - Průběžky 2021'!$E$3:$N$238,'Průběžky 2021 - rozdělení'!A24,'Data - Průběžky 2021'!$N$3:$N$238)</f>
        <v>0</v>
      </c>
      <c r="M24" s="95">
        <f ca="1">SUMIF('Data - Průběžky 2021'!$E$3:$R$238,'Průběžky 2021 - rozdělení'!A24,'Data - Průběžky 2021'!$O$3:$O$238)+SUMIF('Data - Průběžky 2021'!$E$3:$R$238,'Průběžky 2021 - rozdělení'!A24,'Data - Průběžky 2021'!$P$3:$P$238)+SUMIF('Data - Průběžky 2021'!$E$3:$R$238,'Průběžky 2021 - rozdělení'!A24,'Data - Průběžky 2021'!$Q$3:$Q$238)+SUMIF('Data - Průběžky 2021'!$E$3:$R$238,'Průběžky 2021 - rozdělení'!A24,'Data - Průběžky 2021'!$R$3:$R$238)</f>
        <v>0</v>
      </c>
      <c r="N24" s="95">
        <f ca="1">SUMIF('Data - Průběžky 2021'!$E$3:$AG$238,'Průběžky 2021 - rozdělení'!A24,'Data - Průběžky 2021'!$S$3:$S$237)</f>
        <v>0</v>
      </c>
      <c r="O24" s="95">
        <f ca="1">SUMIF('Data - Průběžky 2021'!$E$3:$AG$238,'Průběžky 2021 - rozdělení'!A24,'Data - Průběžky 2021'!$T$3:$T$237)</f>
        <v>43000</v>
      </c>
      <c r="P24" s="95">
        <f ca="1">SUMIF('Data - Průběžky 2021'!$E$3:$AG$238,'Průběžky 2021 - rozdělení'!A24,'Data - Průběžky 2021'!$U$3:$U$237)</f>
        <v>0</v>
      </c>
      <c r="Q24" s="95">
        <f ca="1">SUMIF('Data - Průběžky 2021'!$E$3:$AG$238,'Průběžky 2021 - rozdělení'!A24,'Data - Průběžky 2021'!$V$3:$V$237)</f>
        <v>0</v>
      </c>
      <c r="R24" s="95">
        <f ca="1">SUMIF('Data - Průběžky 2021'!$E$3:$AG$238,'Průběžky 2021 - rozdělení'!A24,'Data - Průběžky 2021'!$W$3:$W$237)+SUMIF('Data - Průběžky 2021'!$E$3:$AG$238,'Průběžky 2021 - rozdělení'!A24,'Data - Průběžky 2021'!$X$3:$X$237)</f>
        <v>0</v>
      </c>
      <c r="S24" s="95">
        <f ca="1">SUMIF('Data - Průběžky 2021'!$E$3:$AG$238,'Průběžky 2021 - rozdělení'!A24,'Data - Průběžky 2021'!$Z$3:$Z$237)</f>
        <v>2404190</v>
      </c>
      <c r="T24" s="95">
        <f ca="1">SUMIF('Data - Průběžky 2021'!$E$3:$AG$238,'Průběžky 2021 - rozdělení'!A24,'Data - Průběžky 2021'!$AB$3:$AB$237)</f>
        <v>1418019.97</v>
      </c>
      <c r="U24" s="95">
        <f ca="1">SUMIF('Data - Průběžky 2021'!$E$3:$AG$238,'Průběžky 2021 - rozdělení'!A24,'Data - Průběžky 2021'!$AC$3:$AC$237)</f>
        <v>0</v>
      </c>
      <c r="V24" s="92">
        <f ca="1">SUMIF('Data - Průběžky 2021'!$E$3:$AG$238,'Průběžky 2021 - rozdělení'!A24,'Data - Průběžky 2021'!$AA$3:$AA$237)</f>
        <v>0</v>
      </c>
      <c r="W24" s="92">
        <f ca="1">SUMIF('Data - Průběžky 2021'!$E$3:$AG$238,'Průběžky 2021 - rozdělení'!A24,'Data - Průběžky 2021'!$AD$3:$AD$237)+SUMIF('Data - Průběžky 2021'!$E$3:$AG$238,'Průběžky 2021 - rozdělení'!A24,'Data - Průběžky 2021'!$AE$3:$AE$237)+SUMIF('Data - Průběžky 2021'!$E$3:$AG$238,'Průběžky 2021 - rozdělení'!A24,'Data - Průběžky 2021'!$AF$3:$AF$237)+SUMIF('Data - Průběžky 2021'!$E$3:$AG$238,'Průběžky 2021 - rozdělení'!A24,'Data - Průběžky 2021'!$AG$3:$AG$237)</f>
        <v>83712.990000000005</v>
      </c>
    </row>
    <row r="25" spans="1:23" x14ac:dyDescent="0.15">
      <c r="B25" s="95"/>
      <c r="E25" s="95"/>
      <c r="F25" s="95"/>
      <c r="G25" s="95"/>
      <c r="H25" s="95"/>
      <c r="J25" s="100">
        <f ca="1">J24/$B$24</f>
        <v>0.66891273084538272</v>
      </c>
      <c r="K25" s="100">
        <f t="shared" ref="K25:W25" ca="1" si="9">K24/$B$24</f>
        <v>0.10614931661423173</v>
      </c>
      <c r="L25" s="100">
        <f t="shared" ca="1" si="9"/>
        <v>0</v>
      </c>
      <c r="M25" s="100">
        <f t="shared" ca="1" si="9"/>
        <v>0</v>
      </c>
      <c r="N25" s="100">
        <f t="shared" ca="1" si="9"/>
        <v>0</v>
      </c>
      <c r="O25" s="100">
        <f t="shared" ca="1" si="9"/>
        <v>2.4493594980735146E-3</v>
      </c>
      <c r="P25" s="100">
        <f t="shared" ca="1" si="9"/>
        <v>0</v>
      </c>
      <c r="Q25" s="100">
        <f t="shared" ca="1" si="9"/>
        <v>0</v>
      </c>
      <c r="R25" s="100">
        <f t="shared" ca="1" si="9"/>
        <v>0</v>
      </c>
      <c r="S25" s="100">
        <f t="shared" ca="1" si="9"/>
        <v>0.13694710724821776</v>
      </c>
      <c r="T25" s="100">
        <f t="shared" ca="1" si="9"/>
        <v>8.0773039115753967E-2</v>
      </c>
      <c r="U25" s="100">
        <f t="shared" ca="1" si="9"/>
        <v>0</v>
      </c>
      <c r="V25" s="100">
        <f t="shared" ca="1" si="9"/>
        <v>0</v>
      </c>
      <c r="W25" s="100">
        <f t="shared" ca="1" si="9"/>
        <v>4.7684466783403066E-3</v>
      </c>
    </row>
    <row r="26" spans="1:23" x14ac:dyDescent="0.15">
      <c r="A26" s="153" t="s">
        <v>298</v>
      </c>
      <c r="B26" s="154">
        <f ca="1">SUMIF('Data - Průběžky 2021'!$E$3:$J$238,'Průběžky 2021 - rozdělení'!A26,'Data - Průběžky 2021'!$J$3:$J$238)</f>
        <v>206051471.56999999</v>
      </c>
      <c r="C26" s="153">
        <v>303</v>
      </c>
      <c r="D26" s="153">
        <v>304.87</v>
      </c>
      <c r="E26" s="154">
        <f ca="1">B26/C26</f>
        <v>680037.85996699671</v>
      </c>
      <c r="F26" s="154"/>
      <c r="G26" s="154">
        <f ca="1">E26/12</f>
        <v>56669.821663916395</v>
      </c>
      <c r="H26" s="154"/>
      <c r="I26" s="153"/>
      <c r="J26" s="154">
        <f ca="1">SUMIF('Data - Průběžky 2021'!$E$3:$AG$238,'Průběžky 2021 - rozdělení'!A26,'Data - Průběžky 2021'!$L$3:$L$237)</f>
        <v>141390383</v>
      </c>
      <c r="K26" s="154">
        <v>29470716</v>
      </c>
      <c r="L26" s="154">
        <f ca="1">SUMIF('Data - Průběžky 2021'!$E$3:$N$238,'Průběžky 2021 - rozdělení'!A26,'Data - Průběžky 2021'!$N$3:$N$238)</f>
        <v>0</v>
      </c>
      <c r="M26" s="154">
        <f ca="1">SUMIF('Data - Průběžky 2021'!$E$3:$R$238,'Průběžky 2021 - rozdělení'!A26,'Data - Průběžky 2021'!$O$3:$O$238)+SUMIF('Data - Průběžky 2021'!$E$3:$R$238,'Průběžky 2021 - rozdělení'!A26,'Data - Průběžky 2021'!$P$3:$P$238)+SUMIF('Data - Průběžky 2021'!$E$3:$R$238,'Průběžky 2021 - rozdělení'!A26,'Data - Průběžky 2021'!$Q$3:$Q$238)+SUMIF('Data - Průběžky 2021'!$E$3:$R$238,'Průběžky 2021 - rozdělení'!A26,'Data - Průběžky 2021'!$R$3:$R$238)</f>
        <v>0</v>
      </c>
      <c r="N26" s="154">
        <f ca="1">SUMIF('Data - Průběžky 2021'!$E$3:$AG$238,'Průběžky 2021 - rozdělení'!A26,'Data - Průběžky 2021'!$S$3:$S$237)</f>
        <v>267743</v>
      </c>
      <c r="O26" s="154">
        <f ca="1">SUMIF('Data - Průběžky 2021'!$E$3:$AG$238,'Průběžky 2021 - rozdělení'!A26,'Data - Průběžky 2021'!$T$3:$T$237)</f>
        <v>0</v>
      </c>
      <c r="P26" s="154">
        <f ca="1">SUMIF('Data - Průběžky 2021'!$E$3:$AG$238,'Průběžky 2021 - rozdělení'!A26,'Data - Průběžky 2021'!$U$3:$U$237)</f>
        <v>0</v>
      </c>
      <c r="Q26" s="154">
        <f ca="1">SUMIF('Data - Průběžky 2021'!$E$3:$AG$238,'Průběžky 2021 - rozdělení'!A26,'Data - Průběžky 2021'!$V$3:$V$237)</f>
        <v>0</v>
      </c>
      <c r="R26" s="154">
        <f ca="1">SUMIF('Data - Průběžky 2021'!$E$3:$AG$238,'Průběžky 2021 - rozdělení'!A26,'Data - Průběžky 2021'!$W$3:$W$237)+SUMIF('Data - Průběžky 2021'!$E$3:$AG$238,'Průběžky 2021 - rozdělení'!A26,'Data - Průběžky 2021'!$X$3:$X$237)</f>
        <v>305529.42000000004</v>
      </c>
      <c r="S26" s="154">
        <f ca="1">SUMIF('Data - Průběžky 2021'!$E$3:$AG$238,'Průběžky 2021 - rozdělení'!A26,'Data - Průběžky 2021'!$Z$3:$Z$237)</f>
        <v>30716059</v>
      </c>
      <c r="T26" s="154">
        <f ca="1">SUMIF('Data - Průběžky 2021'!$E$3:$AG$238,'Průběžky 2021 - rozdělení'!A26,'Data - Průběžky 2021'!$AB$3:$AB$237)</f>
        <v>2874148.94</v>
      </c>
      <c r="U26" s="154">
        <f ca="1">SUMIF('Data - Průběžky 2021'!$E$3:$AG$238,'Průběžky 2021 - rozdělení'!A26,'Data - Průběžky 2021'!$AC$3:$AC$237)</f>
        <v>0</v>
      </c>
      <c r="V26" s="153">
        <f ca="1">SUMIF('Data - Průběžky 2021'!$E$3:$AG$238,'Průběžky 2021 - rozdělení'!A26,'Data - Průběžky 2021'!$AA$3:$AA$237)</f>
        <v>234939</v>
      </c>
      <c r="W26" s="153">
        <f ca="1">SUMIF('Data - Průběžky 2021'!$E$3:$AG$238,'Průběžky 2021 - rozdělení'!A26,'Data - Průběžky 2021'!$AD$3:$AD$237)+SUMIF('Data - Průběžky 2021'!$E$3:$AG$238,'Průběžky 2021 - rozdělení'!A26,'Data - Průběžky 2021'!$AE$3:$AE$237)+SUMIF('Data - Průběžky 2021'!$E$3:$AG$238,'Průběžky 2021 - rozdělení'!A26,'Data - Průběžky 2021'!$AF$3:$AF$237)+SUMIF('Data - Průběžky 2021'!$E$3:$AG$238,'Průběžky 2021 - rozdělení'!A26,'Data - Průběžky 2021'!$AG$3:$AG$237)</f>
        <v>791953.21</v>
      </c>
    </row>
    <row r="27" spans="1:23" x14ac:dyDescent="0.15">
      <c r="A27" s="153"/>
      <c r="B27" s="154"/>
      <c r="C27" s="153"/>
      <c r="D27" s="153"/>
      <c r="E27" s="154"/>
      <c r="F27" s="154"/>
      <c r="G27" s="154"/>
      <c r="H27" s="154"/>
      <c r="I27" s="153"/>
      <c r="J27" s="155">
        <f ca="1">J26/$B$26</f>
        <v>0.68618962981764842</v>
      </c>
      <c r="K27" s="155">
        <f t="shared" ref="K27:W27" ca="1" si="10">K26/$B$26</f>
        <v>0.1430259913964661</v>
      </c>
      <c r="L27" s="155">
        <f t="shared" ca="1" si="10"/>
        <v>0</v>
      </c>
      <c r="M27" s="155">
        <f t="shared" ca="1" si="10"/>
        <v>0</v>
      </c>
      <c r="N27" s="155">
        <f t="shared" ca="1" si="10"/>
        <v>1.2993986306428396E-3</v>
      </c>
      <c r="O27" s="155">
        <f t="shared" ca="1" si="10"/>
        <v>0</v>
      </c>
      <c r="P27" s="155">
        <f t="shared" ca="1" si="10"/>
        <v>0</v>
      </c>
      <c r="Q27" s="155">
        <f t="shared" ca="1" si="10"/>
        <v>0</v>
      </c>
      <c r="R27" s="155">
        <f t="shared" ca="1" si="10"/>
        <v>1.482782033401811E-3</v>
      </c>
      <c r="S27" s="155">
        <f t="shared" ca="1" si="10"/>
        <v>0.14906983563844683</v>
      </c>
      <c r="T27" s="155">
        <f t="shared" ca="1" si="10"/>
        <v>1.3948694071925574E-2</v>
      </c>
      <c r="U27" s="155">
        <f t="shared" ca="1" si="10"/>
        <v>0</v>
      </c>
      <c r="V27" s="155">
        <f t="shared" ca="1" si="10"/>
        <v>1.1401956909596071E-3</v>
      </c>
      <c r="W27" s="155">
        <f t="shared" ca="1" si="10"/>
        <v>3.8434727205088506E-3</v>
      </c>
    </row>
    <row r="28" spans="1:23" x14ac:dyDescent="0.15">
      <c r="A28" s="147" t="s">
        <v>285</v>
      </c>
      <c r="B28" s="148">
        <f ca="1">SUMIF('Data - Průběžky 2021'!$E$3:$J$238,'Průběžky 2021 - rozdělení'!A28,'Data - Průběžky 2021'!$J$3:$J$238)</f>
        <v>355459341.47999996</v>
      </c>
      <c r="C28" s="147">
        <v>992</v>
      </c>
      <c r="D28" s="147">
        <v>499.59999999999991</v>
      </c>
      <c r="E28" s="148">
        <f ca="1">B28/C28</f>
        <v>358325.94907258061</v>
      </c>
      <c r="F28" s="148"/>
      <c r="G28" s="148">
        <f ca="1">E28/12</f>
        <v>29860.495756048385</v>
      </c>
      <c r="H28" s="148"/>
      <c r="I28" s="147"/>
      <c r="J28" s="148">
        <f ca="1">SUMIF('Data - Průběžky 2021'!$E$3:$AG$238,'Průběžky 2021 - rozdělení'!A28,'Data - Průběžky 2021'!$L$3:$L$237)</f>
        <v>152012000</v>
      </c>
      <c r="K28" s="148">
        <v>35761961</v>
      </c>
      <c r="L28" s="148">
        <f ca="1">SUMIF('Data - Průběžky 2021'!$E$3:$N$238,'Průběžky 2021 - rozdělení'!A28,'Data - Průběžky 2021'!$N$3:$N$238)</f>
        <v>492000</v>
      </c>
      <c r="M28" s="148">
        <f ca="1">SUMIF('Data - Průběžky 2021'!$E$3:$R$238,'Průběžky 2021 - rozdělení'!A28,'Data - Průběžky 2021'!$O$3:$O$238)+SUMIF('Data - Průběžky 2021'!$E$3:$R$238,'Průběžky 2021 - rozdělení'!A28,'Data - Průběžky 2021'!$P$3:$P$238)+SUMIF('Data - Průběžky 2021'!$E$3:$R$238,'Průběžky 2021 - rozdělení'!A28,'Data - Průběžky 2021'!$Q$3:$Q$238)+SUMIF('Data - Průběžky 2021'!$E$3:$R$238,'Průběžky 2021 - rozdělení'!A28,'Data - Průběžky 2021'!$R$3:$R$238)</f>
        <v>0</v>
      </c>
      <c r="N28" s="148">
        <f ca="1">SUMIF('Data - Průběžky 2021'!$E$3:$AG$238,'Průběžky 2021 - rozdělení'!A28,'Data - Průběžky 2021'!$S$3:$S$237)</f>
        <v>1052948</v>
      </c>
      <c r="O28" s="148">
        <f ca="1">SUMIF('Data - Průběžky 2021'!$E$3:$AG$238,'Průběžky 2021 - rozdělení'!A28,'Data - Průběžky 2021'!$T$3:$T$237)</f>
        <v>30305000</v>
      </c>
      <c r="P28" s="148">
        <f ca="1">SUMIF('Data - Průběžky 2021'!$E$3:$AG$238,'Průběžky 2021 - rozdělení'!A28,'Data - Průběžky 2021'!$U$3:$U$237)</f>
        <v>0</v>
      </c>
      <c r="Q28" s="148">
        <f ca="1">SUMIF('Data - Průběžky 2021'!$E$3:$AG$238,'Průběžky 2021 - rozdělení'!A28,'Data - Průběžky 2021'!$V$3:$V$237)</f>
        <v>0</v>
      </c>
      <c r="R28" s="148">
        <f ca="1">SUMIF('Data - Průběžky 2021'!$E$3:$AG$238,'Průběžky 2021 - rozdělení'!A28,'Data - Průběžky 2021'!$W$3:$W$237)+SUMIF('Data - Průběžky 2021'!$E$3:$AG$238,'Průběžky 2021 - rozdělení'!A28,'Data - Průběžky 2021'!$X$3:$X$237)</f>
        <v>62112.6</v>
      </c>
      <c r="S28" s="148">
        <f ca="1">SUMIF('Data - Průběžky 2021'!$E$3:$AG$238,'Průběžky 2021 - rozdělení'!A28,'Data - Průběžky 2021'!$Z$3:$Z$237)</f>
        <v>82213311.040000007</v>
      </c>
      <c r="T28" s="148">
        <f ca="1">SUMIF('Data - Průběžky 2021'!$E$3:$AG$238,'Průběžky 2021 - rozdělení'!A28,'Data - Průběžky 2021'!$AB$3:$AB$237)</f>
        <v>25778123.300000008</v>
      </c>
      <c r="U28" s="148">
        <f ca="1">SUMIF('Data - Průběžky 2021'!$E$3:$AG$238,'Průběžky 2021 - rozdělení'!A28,'Data - Průběžky 2021'!$AC$3:$AC$237)</f>
        <v>0</v>
      </c>
      <c r="V28" s="147">
        <f ca="1">SUMIF('Data - Průběžky 2021'!$E$3:$AG$238,'Průběžky 2021 - rozdělení'!A28,'Data - Průběžky 2021'!$AA$3:$AA$237)</f>
        <v>23543606</v>
      </c>
      <c r="W28" s="147">
        <f ca="1">SUMIF('Data - Průběžky 2021'!$E$3:$AG$238,'Průběžky 2021 - rozdělení'!A28,'Data - Průběžky 2021'!$AD$3:$AD$237)+SUMIF('Data - Průběžky 2021'!$E$3:$AG$238,'Průběžky 2021 - rozdělení'!A28,'Data - Průběžky 2021'!$AE$3:$AE$237)+SUMIF('Data - Průběžky 2021'!$E$3:$AG$238,'Průběžky 2021 - rozdělení'!A28,'Data - Průběžky 2021'!$AF$3:$AF$237)+SUMIF('Data - Průběžky 2021'!$E$3:$AG$238,'Průběžky 2021 - rozdělení'!A28,'Data - Průběžky 2021'!$AG$3:$AG$237)</f>
        <v>4238279.540000001</v>
      </c>
    </row>
    <row r="29" spans="1:23" x14ac:dyDescent="0.15">
      <c r="A29" s="147"/>
      <c r="B29" s="148"/>
      <c r="C29" s="147"/>
      <c r="D29" s="147"/>
      <c r="E29" s="148"/>
      <c r="F29" s="148"/>
      <c r="G29" s="148"/>
      <c r="H29" s="148"/>
      <c r="I29" s="147"/>
      <c r="J29" s="149">
        <f ca="1">J28/$B$28</f>
        <v>0.42764947284006882</v>
      </c>
      <c r="K29" s="149">
        <f t="shared" ref="K29:W29" ca="1" si="11">K28/$B$28</f>
        <v>0.10060773997695643</v>
      </c>
      <c r="L29" s="149">
        <f t="shared" ca="1" si="11"/>
        <v>1.3841245469917761E-3</v>
      </c>
      <c r="M29" s="149">
        <f t="shared" ca="1" si="11"/>
        <v>0</v>
      </c>
      <c r="N29" s="149">
        <f t="shared" ca="1" si="11"/>
        <v>2.9622178323290582E-3</v>
      </c>
      <c r="O29" s="149">
        <f t="shared" ca="1" si="11"/>
        <v>8.5255882919889794E-2</v>
      </c>
      <c r="P29" s="149">
        <f t="shared" ca="1" si="11"/>
        <v>0</v>
      </c>
      <c r="Q29" s="149">
        <f t="shared" ca="1" si="11"/>
        <v>0</v>
      </c>
      <c r="R29" s="149">
        <f t="shared" ca="1" si="11"/>
        <v>1.7473897223065324E-4</v>
      </c>
      <c r="S29" s="149">
        <f t="shared" ca="1" si="11"/>
        <v>0.23128752418685772</v>
      </c>
      <c r="T29" s="149">
        <f t="shared" ca="1" si="11"/>
        <v>7.2520596005915983E-2</v>
      </c>
      <c r="U29" s="149">
        <f t="shared" ca="1" si="11"/>
        <v>0</v>
      </c>
      <c r="V29" s="149">
        <f t="shared" ca="1" si="11"/>
        <v>6.6234315018908252E-2</v>
      </c>
      <c r="W29" s="149">
        <f t="shared" ca="1" si="11"/>
        <v>1.1923387699851656E-2</v>
      </c>
    </row>
    <row r="30" spans="1:23" x14ac:dyDescent="0.15">
      <c r="A30" s="150" t="s">
        <v>788</v>
      </c>
      <c r="B30" s="151">
        <f>SUMIFS('Data - Průběžky 2021'!$J$3:$J$237,'Data - Průběžky 2021'!$D$3:$D$237,"PO kraje",'Data - Průběžky 2021'!$E$3:$E$237,'Průběžky 2021 - rozdělení'!$A$28)</f>
        <v>173106266.06999999</v>
      </c>
      <c r="C30" s="150"/>
      <c r="D30" s="150"/>
      <c r="E30" s="151"/>
      <c r="F30" s="151"/>
      <c r="G30" s="151"/>
      <c r="H30" s="151"/>
      <c r="I30" s="150" t="s">
        <v>788</v>
      </c>
      <c r="J30" s="152">
        <f>SUMIFS('Data - Průběžky 2021'!$L$3:$L$237,'Data - Průběžky 2021'!$D$3:$D$237,"PO kraje",'Data - Průběžky 2021'!$E$3:$E$237,'Průběžky 2021 - rozdělení'!$A$28)/$B30</f>
        <v>0.42725778609361231</v>
      </c>
      <c r="K30" s="152">
        <f>SUMIFS('Data - Průběžky 2021'!$M$3:$M$237,'Data - Průběžky 2021'!$D$3:$D$237,"PO kraje",'Data - Průběžky 2021'!$E$3:$E$237,'Průběžky 2021 - rozdělení'!$A28)/$B30</f>
        <v>0.2065896389073445</v>
      </c>
      <c r="L30" s="152">
        <f>SUMIFS('Data - Průběžky 2021'!$N$3:$N$237,'Data - Průběžky 2021'!$D$3:$D$237,"PO kraje",'Data - Průběžky 2021'!$E$3:$E$237,'Průběžky 2021 - rozdělení'!$A28)/$B30</f>
        <v>0</v>
      </c>
      <c r="M30" s="152">
        <v>0</v>
      </c>
      <c r="N30" s="152">
        <f>SUMIFS('Data - Průběžky 2021'!$S$3:$S$237,'Data - Průběžky 2021'!$D$3:$D$237,"PO kraje",'Data - Průběžky 2021'!$E$3:$E$237,'Průběžky 2021 - rozdělení'!$A$28)/$B30</f>
        <v>6.2112136343187897E-5</v>
      </c>
      <c r="O30" s="152">
        <v>0</v>
      </c>
      <c r="P30" s="152">
        <v>0</v>
      </c>
      <c r="Q30" s="152">
        <v>0</v>
      </c>
      <c r="R30" s="152">
        <f>(SUMIFS('Data - Průběžky 2021'!$W$3:$W$237,'Data - Průběžky 2021'!$D$3:$D$237,"PO kraje",'Data - Průběžky 2021'!$E$3:$E$237,'Průběžky 2021 - rozdělení'!$A$28)+SUMIFS('Data - Průběžky 2021'!$X$3:$X$237,'Data - Průběžky 2021'!$D$3:$D$237,"PO kraje",'Data - Průběžky 2021'!$E$3:$E$237,'Průběžky 2021 - rozdělení'!$A$28))/$B30</f>
        <v>8.9320856783702679E-5</v>
      </c>
      <c r="S30" s="152">
        <f>SUMIFS('Data - Průběžky 2021'!$Z$3:$Z$237,'Data - Průběžky 2021'!$D$3:$D$237,"PO kraje",'Data - Průběžky 2021'!$E$3:$E$237,'Průběžky 2021 - rozdělení'!$A28)/$B30</f>
        <v>0.22787826169185882</v>
      </c>
      <c r="T30" s="152">
        <f>SUMIFS('Data - Průběžky 2021'!$AB$3:$AB$237,'Data - Průběžky 2021'!$D$3:$D$237,"PO kraje",'Data - Průběžky 2021'!$E$3:$E$237,'Průběžky 2021 - rozdělení'!$A$28)/$B30</f>
        <v>6.2349580260922105E-2</v>
      </c>
      <c r="U30" s="152">
        <v>0</v>
      </c>
      <c r="V30" s="152">
        <f>SUMIFS('Data - Průběžky 2021'!$AA$3:$AA$237,'Data - Průběžky 2021'!$D$3:$D$237,"PO kraje",'Data - Průběžky 2021'!$E$3:$E$237,'Průběžky 2021 - rozdělení'!$A$28)/$B30</f>
        <v>6.2893176816588944E-2</v>
      </c>
      <c r="W30" s="152">
        <f>100%-SUM(J30:V30)</f>
        <v>1.2880123236546526E-2</v>
      </c>
    </row>
    <row r="31" spans="1:23" x14ac:dyDescent="0.15">
      <c r="A31" s="150" t="s">
        <v>789</v>
      </c>
      <c r="B31" s="151">
        <f>SUMIFS('Data - Průběžky 2021'!$J$3:$J$237,'Data - Průběžky 2021'!$D$3:$D$237,"Příspěvková organizace zřízená územním samosprávným celkem",'Data - Průběžky 2021'!$E$3:$E$237,'Průběžky 2021 - rozdělení'!$A$28)</f>
        <v>124931890.41000003</v>
      </c>
      <c r="C31" s="150"/>
      <c r="D31" s="150"/>
      <c r="E31" s="151"/>
      <c r="F31" s="151"/>
      <c r="G31" s="151"/>
      <c r="H31" s="151"/>
      <c r="I31" s="150" t="s">
        <v>789</v>
      </c>
      <c r="J31" s="152">
        <f>SUMIFS('Data - Průběžky 2021'!$L$3:$L$237,'Data - Průběžky 2021'!$D$3:$D$237,"Příspěvková organizace zřízená územním samosprávným celkem",'Data - Průběžky 2021'!$E$3:$E$237,'Průběžky 2021 - rozdělení'!$A$28)/$B31</f>
        <v>0.41001540785057899</v>
      </c>
      <c r="K31" s="152">
        <f>SUMIFS('Data - Průběžky 2021'!$M$3:$M$237,'Data - Průběžky 2021'!$D$3:$D$237,"Příspěvková organizace zřízená územním samosprávným celkem",'Data - Průběžky 2021'!$E$3:$E$237,'Průběžky 2021 - rozdělení'!$A28)/$B31</f>
        <v>0</v>
      </c>
      <c r="L31" s="152">
        <f>SUMIFS('Data - Průběžky 2021'!$N$3:$N$237,'Data - Průběžky 2021'!$D$3:$D$237,"Příspěvková organizace zřízená územním samosprávným celkem",'Data - Průběžky 2021'!$E$3:$E$237,'Průběžky 2021 - rozdělení'!$A$28)/$B31</f>
        <v>0</v>
      </c>
      <c r="M31" s="152">
        <v>0</v>
      </c>
      <c r="N31" s="152">
        <f>SUMIFS('Data - Průběžky 2021'!$S$3:$S$237,'Data - Průběžky 2021'!$D$3:$D$237,"Příspěvková organizace zřízená územním samosprávným celkem",'Data - Průběžky 2021'!$E$3:$E$237,'Průběžky 2021 - rozdělení'!$A$28)/$B31</f>
        <v>0</v>
      </c>
      <c r="O31" s="152">
        <f ca="1">O28/B31</f>
        <v>0.24257217192940411</v>
      </c>
      <c r="P31" s="152">
        <v>0</v>
      </c>
      <c r="Q31" s="152">
        <v>0</v>
      </c>
      <c r="R31" s="152">
        <f>(SUMIFS('Data - Průběžky 2021'!$W$3:$W$237,'Data - Průběžky 2021'!$D$3:$D$237,"Příspěvková organizace zřízená územním samosprávným celkem",'Data - Průběžky 2021'!$E$3:$E$237,'Průběžky 2021 - rozdělení'!$A$28)+SUMIFS('Data - Průběžky 2021'!$X$3:$X$237,'Data - Průběžky 2021'!$D$3:$D$237,"Příspěvková organizace zřízená územním samosprávným celkem",'Data - Průběžky 2021'!$E$3:$E$237,'Průběžky 2021 - rozdělení'!$A$28))/$B31</f>
        <v>1.3211998910631065E-5</v>
      </c>
      <c r="S31" s="152">
        <f>SUMIFS('Data - Průběžky 2021'!$Z$3:$Z$237,'Data - Průběžky 2021'!$D$3:$D$237,"Příspěvková organizace zřízená územním samosprávným celkem",'Data - Průběžky 2021'!$E$3:$E$237,'Průběžky 2021 - rozdělení'!$A28)/$B31</f>
        <v>0.23986872320312946</v>
      </c>
      <c r="T31" s="152">
        <f>SUMIFS('Data - Průběžky 2021'!$AB$3:$AB$237,'Data - Průběžky 2021'!$D$3:$D$237,"Příspěvková organizace zřízená územním samosprávným celkem",'Data - Průběžky 2021'!$E$3:$E$237,'Průběžky 2021 - rozdělení'!$A$28)/$B31</f>
        <v>6.5153310682221646E-2</v>
      </c>
      <c r="U31" s="152">
        <v>0</v>
      </c>
      <c r="V31" s="152">
        <f>SUMIFS('Data - Průběžky 2021'!$AA$3:$AA$237,'Data - Průběžky 2021'!$D$3:$D$237,"Příspěvková organizace zřízená územním samosprávným celkem",'Data - Průběžky 2021'!$E$3:$E$237,'Průběžky 2021 - rozdělení'!$A$28)/$B31</f>
        <v>3.3440885159819772E-2</v>
      </c>
      <c r="W31" s="152">
        <f ca="1">100%-SUM(J31:V31)</f>
        <v>8.9362891759353635E-3</v>
      </c>
    </row>
    <row r="32" spans="1:23" x14ac:dyDescent="0.15">
      <c r="A32" s="150" t="s">
        <v>379</v>
      </c>
      <c r="B32" s="151">
        <f>SUMIFS('Data - Průběžky 2021'!$J$3:$J$237,'Data - Průběžky 2021'!$D$3:$D$237,"Obec",'Data - Průběžky 2021'!$E$3:$E$237,'Průběžky 2021 - rozdělení'!$A$28)</f>
        <v>0</v>
      </c>
      <c r="C32" s="150"/>
      <c r="D32" s="150"/>
      <c r="E32" s="151"/>
      <c r="F32" s="151"/>
      <c r="G32" s="151"/>
      <c r="H32" s="151"/>
      <c r="I32" s="150" t="s">
        <v>379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</v>
      </c>
      <c r="W32" s="152">
        <v>0</v>
      </c>
    </row>
    <row r="33" spans="1:23" x14ac:dyDescent="0.15">
      <c r="A33" s="150" t="s">
        <v>790</v>
      </c>
      <c r="B33" s="151">
        <f ca="1">B28-B30-B31-B32</f>
        <v>57421184.99999994</v>
      </c>
      <c r="C33" s="150"/>
      <c r="D33" s="150"/>
      <c r="E33" s="151"/>
      <c r="F33" s="151"/>
      <c r="G33" s="151"/>
      <c r="H33" s="151"/>
      <c r="I33" s="150" t="s">
        <v>790</v>
      </c>
      <c r="J33" s="152">
        <f ca="1">(J28-(SUMIFS('Data - Průběžky 2021'!$L$3:$L$237,'Data - Průběžky 2021'!$D$3:$D$237,"PO kraje",'Data - Průběžky 2021'!$E$3:$E$237,'Průběžky 2021 - rozdělení'!$A$28)+SUMIFS('Data - Průběžky 2021'!$L$3:$L$237,'Data - Průběžky 2021'!$D$3:$D$237,"Příspěvková organizace zřízená územním samosprávným celkem",'Data - Průběžky 2021'!$E$3:$E$237,'Průběžky 2021 - rozdělení'!$A$28)))/$B33</f>
        <v>0.46719690650758999</v>
      </c>
      <c r="K33" s="152">
        <v>0</v>
      </c>
      <c r="L33" s="152">
        <f ca="1">(L28-(SUMIFS('Data - Průběžky 2021'!$N$3:$N$237,'Data - Průběžky 2021'!$D$3:$D$237,"PO kraje",'Data - Průběžky 2021'!$E$3:$E$237,'Průběžky 2021 - rozdělení'!$A$28)+SUMIFS('Data - Průběžky 2021'!$N$3:$N$237,'Data - Průběžky 2021'!$D$3:$D$237,"Příspěvková organizace zřízená územním samosprávným celkem",'Data - Průběžky 2021'!$E$3:$E$237,'Průběžky 2021 - rozdělení'!$A$28)+SUMIFS('Data - Průběžky 2021'!$N$3:$N$237,'Data - Průběžky 2021'!$D$3:$D$237,"Obec",'Data - Průběžky 2021'!$E$3:$E$237,'Průběžky 2021 - rozdělení'!$A$28)))/$B33</f>
        <v>8.5682662243908841E-3</v>
      </c>
      <c r="M33" s="152">
        <v>0</v>
      </c>
      <c r="N33" s="152">
        <f ca="1">(N28-(SUMIFS('Data - Průběžky 2021'!$S$3:$S$237,'Data - Průběžky 2021'!$D$3:$D$237,"PO kraje",'Data - Průběžky 2021'!$E$3:$E$237,'Průběžky 2021 - rozdělení'!$A$28)+SUMIFS('Data - Průběžky 2021'!$S$3:$S$237,'Data - Průběžky 2021'!$D$3:$D$237,"Příspěvková organizace zřízená územním samosprávným celkem",'Data - Průběžky 2021'!$E$3:$E$237,'Průběžky 2021 - rozdělení'!$A$28)+SUMIFS('Data - Průběžky 2021'!$S$3:$S$237,'Data - Průběžky 2021'!$D$3:$D$237,"Obec",'Data - Průběžky 2021'!$E$3:$E$237,'Průběžky 2021 - rozdělení'!$A$28)))/$B33</f>
        <v>1.815002598779529E-2</v>
      </c>
      <c r="O33" s="152">
        <v>0</v>
      </c>
      <c r="P33" s="152">
        <v>0</v>
      </c>
      <c r="Q33" s="152">
        <v>0</v>
      </c>
      <c r="R33" s="152">
        <f ca="1">(R28-((SUMIFS('Data - Průběžky 2021'!$W$3:$W$237,'Data - Průběžky 2021'!$D$3:$D$237,"PO kraje",'Data - Průběžky 2021'!$E$3:$E$237,'Průběžky 2021 - rozdělení'!$A$28))+(SUMIFS('Data - Průběžky 2021'!$X$3:$X$237,'Data - Průběžky 2021'!$D$3:$D$237,"PO kraje",'Data - Průběžky 2021'!$E$3:$E$237,'Průběžky 2021 - rozdělení'!$A$28)))+(SUMIFS('Data - Průběžky 2021'!$W$3:$W$237,'Data - Průběžky 2021'!$D$3:$D$237,"Příspěvková organizace zřízená územním samosprávným celkem",'Data - Průběžky 2021'!$E$3:$E$237,'Průběžky 2021 - rozdělení'!$A$28)+SUMIFS('Data - Průběžky 2021'!$X$3:$X$237,'Data - Průběžky 2021'!$D$3:$D$237,"Příspěvková organizace zřízená územním samosprávným celkem",'Data - Průběžky 2021'!$E$3:$E$237,'Průběžky 2021 - rozdělení'!$A$28))+(SUMIFS('Data - Průběžky 2021'!$W$3:$W$237,'Data - Průběžky 2021'!$D$3:$D$237,"Obec",'Data - Průběžky 2021'!$E$3:$E$237,'Průběžky 2021 - rozdělení'!$A$28)+SUMIFS('Data - Průběžky 2021'!$X$3:$X$237,'Data - Průběžky 2021'!$D$3:$D$237,"Obec",'Data - Průběžky 2021'!$E$3:$E$237,'Průběžky 2021 - rozdělení'!$A$28)))/$B33</f>
        <v>8.4117386292184755E-4</v>
      </c>
      <c r="S33" s="152">
        <f ca="1">(S28-(SUMIFS('Data - Průběžky 2021'!$Z$3:$Z$237,'Data - Průběžky 2021'!$D$3:$D$237,"PO kraje",'Data - Průběžky 2021'!$E$3:$E$237,'Průběžky 2021 - rozdělení'!$A$28)+SUMIFS('Data - Průběžky 2021'!$Z$3:$Z$237,'Data - Průběžky 2021'!$D$3:$D$237,"Příspěvková organizace zřízená územním samosprávným celkem",'Data - Průběžky 2021'!$E$3:$E$237,'Průběžky 2021 - rozdělení'!$A$28)))/$B33</f>
        <v>0.22289513878893352</v>
      </c>
      <c r="T33" s="152">
        <f ca="1">(T28-(SUMIFS('Data - Průběžky 2021'!$AB$3:$AB$237,'Data - Průběžky 2021'!$D$3:$D$237,"PO kraje",'Data - Průběžky 2021'!$E$3:$E$237,'Průběžky 2021 - rozdělení'!$A$28)+SUMIFS('Data - Průběžky 2021'!$AB$3:$AB$237,'Data - Průběžky 2021'!$D$3:$D$237,"Příspěvková organizace zřízená územním samosprávným celkem",'Data - Průběžky 2021'!$E$3:$E$237,'Průběžky 2021 - rozdělení'!$A$28)))/$B33</f>
        <v>0.11921199466712529</v>
      </c>
      <c r="U33" s="152">
        <v>0</v>
      </c>
      <c r="V33" s="152">
        <f ca="1">(V28-(SUMIFS('Data - Průběžky 2021'!$AA$3:$AA$237,'Data - Průběžky 2021'!$D$3:$D$237,"PO kraje",'Data - Průběžky 2021'!$E$3:$E$237,'Průběžky 2021 - rozdělení'!$A$28)+SUMIFS('Data - Průběžky 2021'!$AA$3:$AA$237,'Data - Průběžky 2021'!$D$3:$D$237,"Příspěvková organizace zřízená územním samosprávným celkem",'Data - Průběžky 2021'!$E$3:$E$237,'Průběžky 2021 - rozdělení'!$A$28)))/$B33</f>
        <v>0.14765578244336144</v>
      </c>
      <c r="W33" s="152">
        <f ca="1">100%-SUM(J33:V33)</f>
        <v>1.5480711517881773E-2</v>
      </c>
    </row>
    <row r="34" spans="1:23" x14ac:dyDescent="0.15">
      <c r="A34" s="107" t="s">
        <v>290</v>
      </c>
      <c r="B34" s="108">
        <f ca="1">SUMIF('Data - Průběžky 2021'!$E$3:$J$238,'Průběžky 2021 - rozdělení'!A34,'Data - Průběžky 2021'!$J$3:$J$238)</f>
        <v>272098346.57999998</v>
      </c>
      <c r="C34" s="107">
        <v>635</v>
      </c>
      <c r="D34" s="107">
        <v>377.29500000000002</v>
      </c>
      <c r="E34" s="108">
        <f ca="1">B34/C34</f>
        <v>428501.33319685038</v>
      </c>
      <c r="F34" s="108"/>
      <c r="G34" s="108">
        <f ca="1">E34/12</f>
        <v>35708.444433070865</v>
      </c>
      <c r="H34" s="108"/>
      <c r="I34" s="107"/>
      <c r="J34" s="108">
        <f ca="1">SUMIF('Data - Průběžky 2021'!$E$3:$AG$238,'Průběžky 2021 - rozdělení'!A34,'Data - Průběžky 2021'!$L$3:$L$237)</f>
        <v>134326440</v>
      </c>
      <c r="K34" s="108">
        <v>21827158</v>
      </c>
      <c r="L34" s="108">
        <f ca="1">SUMIF('Data - Průběžky 2021'!$E$3:$N$238,'Průběžky 2021 - rozdělení'!A34,'Data - Průběžky 2021'!$N$3:$N$238)</f>
        <v>231000</v>
      </c>
      <c r="M34" s="108">
        <f ca="1">SUMIF('Data - Průběžky 2021'!$E$3:$R$238,'Průběžky 2021 - rozdělení'!A34,'Data - Průběžky 2021'!$O$3:$O$238)+SUMIF('Data - Průběžky 2021'!$E$3:$R$238,'Průběžky 2021 - rozdělení'!A34,'Data - Průběžky 2021'!$P$3:$P$238)+SUMIF('Data - Průběžky 2021'!$E$3:$R$238,'Průběžky 2021 - rozdělení'!A34,'Data - Průběžky 2021'!$Q$3:$Q$238)+SUMIF('Data - Průběžky 2021'!$E$3:$R$238,'Průběžky 2021 - rozdělení'!A34,'Data - Průběžky 2021'!$R$3:$R$238)</f>
        <v>0</v>
      </c>
      <c r="N34" s="108">
        <f ca="1">SUMIF('Data - Průběžky 2021'!$E$3:$AG$238,'Průběžky 2021 - rozdělení'!A34,'Data - Průběžky 2021'!$S$3:$S$237)</f>
        <v>1567873</v>
      </c>
      <c r="O34" s="108">
        <f ca="1">SUMIF('Data - Průběžky 2021'!$E$3:$AG$238,'Průběžky 2021 - rozdělení'!A34,'Data - Průběžky 2021'!$T$3:$T$237)</f>
        <v>7126000</v>
      </c>
      <c r="P34" s="108">
        <f ca="1">SUMIF('Data - Průběžky 2021'!$E$3:$AG$238,'Průběžky 2021 - rozdělení'!A34,'Data - Průběžky 2021'!$U$3:$U$237)</f>
        <v>0</v>
      </c>
      <c r="Q34" s="108">
        <f ca="1">SUMIF('Data - Průběžky 2021'!$E$3:$AG$238,'Průběžky 2021 - rozdělení'!A34,'Data - Průběžky 2021'!$V$3:$V$237)</f>
        <v>0</v>
      </c>
      <c r="R34" s="108">
        <f ca="1">SUMIF('Data - Průběžky 2021'!$E$3:$AG$238,'Průběžky 2021 - rozdělení'!A34,'Data - Průběžky 2021'!$W$3:$W$237)+SUMIF('Data - Průběžky 2021'!$E$3:$AG$238,'Průběžky 2021 - rozdělení'!A34,'Data - Průběžky 2021'!$X$3:$X$237)</f>
        <v>44006</v>
      </c>
      <c r="S34" s="108">
        <f ca="1">SUMIF('Data - Průběžky 2021'!$E$3:$AG$238,'Průběžky 2021 - rozdělení'!A34,'Data - Průběžky 2021'!$Z$3:$Z$237)</f>
        <v>60735633</v>
      </c>
      <c r="T34" s="108">
        <f ca="1">SUMIF('Data - Průběžky 2021'!$E$3:$AG$238,'Průběžky 2021 - rozdělení'!A34,'Data - Průběžky 2021'!$AB$3:$AB$237)</f>
        <v>25854706.280000001</v>
      </c>
      <c r="U34" s="108">
        <f ca="1">SUMIF('Data - Průběžky 2021'!$E$3:$AG$238,'Průběžky 2021 - rozdělení'!A34,'Data - Průběžky 2021'!$AC$3:$AC$237)</f>
        <v>0</v>
      </c>
      <c r="V34" s="107">
        <f ca="1">SUMIF('Data - Průběžky 2021'!$E$3:$AG$238,'Průběžky 2021 - rozdělení'!A34,'Data - Průběžky 2021'!$AA$3:$AA$237)</f>
        <v>15752135</v>
      </c>
      <c r="W34" s="107">
        <f ca="1">SUMIF('Data - Průběžky 2021'!$E$3:$AG$238,'Průběžky 2021 - rozdělení'!A34,'Data - Průběžky 2021'!$AD$3:$AD$237)+SUMIF('Data - Průběžky 2021'!$E$3:$AG$238,'Průběžky 2021 - rozdělení'!A34,'Data - Průběžky 2021'!$AE$3:$AE$237)+SUMIF('Data - Průběžky 2021'!$E$3:$AG$238,'Průběžky 2021 - rozdělení'!A34,'Data - Průběžky 2021'!$AF$3:$AF$237)+SUMIF('Data - Průběžky 2021'!$E$3:$AG$238,'Průběžky 2021 - rozdělení'!A34,'Data - Průběžky 2021'!$AG$3:$AG$237)</f>
        <v>4633395.3000000007</v>
      </c>
    </row>
    <row r="35" spans="1:23" x14ac:dyDescent="0.15">
      <c r="A35" s="107"/>
      <c r="B35" s="108"/>
      <c r="C35" s="107"/>
      <c r="D35" s="107"/>
      <c r="E35" s="108"/>
      <c r="F35" s="108"/>
      <c r="G35" s="108"/>
      <c r="H35" s="108"/>
      <c r="I35" s="107"/>
      <c r="J35" s="109">
        <f t="shared" ref="J35:W35" ca="1" si="12">J34/$B$34</f>
        <v>0.493668710921426</v>
      </c>
      <c r="K35" s="109">
        <f t="shared" ca="1" si="12"/>
        <v>8.0217900161266023E-2</v>
      </c>
      <c r="L35" s="109">
        <f t="shared" ca="1" si="12"/>
        <v>8.489577496645441E-4</v>
      </c>
      <c r="M35" s="109">
        <f t="shared" ca="1" si="12"/>
        <v>0</v>
      </c>
      <c r="N35" s="109">
        <f t="shared" ca="1" si="12"/>
        <v>5.7621555577480428E-3</v>
      </c>
      <c r="O35" s="109">
        <f t="shared" ca="1" si="12"/>
        <v>2.6189060277530485E-2</v>
      </c>
      <c r="P35" s="109">
        <f t="shared" ca="1" si="12"/>
        <v>0</v>
      </c>
      <c r="Q35" s="109">
        <f t="shared" ca="1" si="12"/>
        <v>0</v>
      </c>
      <c r="R35" s="109">
        <f t="shared" ca="1" si="12"/>
        <v>1.6172828888198239E-4</v>
      </c>
      <c r="S35" s="109">
        <f t="shared" ca="1" si="12"/>
        <v>0.22321206197459578</v>
      </c>
      <c r="T35" s="109">
        <f t="shared" ca="1" si="12"/>
        <v>9.5019711089638775E-2</v>
      </c>
      <c r="U35" s="109">
        <f t="shared" ca="1" si="12"/>
        <v>0</v>
      </c>
      <c r="V35" s="109">
        <f t="shared" ca="1" si="12"/>
        <v>5.7891329359359756E-2</v>
      </c>
      <c r="W35" s="109">
        <f t="shared" ca="1" si="12"/>
        <v>1.7028384619888641E-2</v>
      </c>
    </row>
    <row r="36" spans="1:23" x14ac:dyDescent="0.15">
      <c r="A36" s="101" t="s">
        <v>788</v>
      </c>
      <c r="B36" s="102">
        <f>SUMIFS('Data - Průběžky 2021'!$J$3:$J$237,'Data - Průběžky 2021'!$D$3:$D$237,"PO kraje",'Data - Průběžky 2021'!$E$3:$E$237,'Průběžky 2021 - rozdělení'!$A$34)</f>
        <v>161301748.29999998</v>
      </c>
      <c r="C36" s="101"/>
      <c r="D36" s="101"/>
      <c r="E36" s="102"/>
      <c r="F36" s="102"/>
      <c r="G36" s="102"/>
      <c r="H36" s="102"/>
      <c r="I36" s="101" t="s">
        <v>788</v>
      </c>
      <c r="J36" s="103">
        <f>SUMIFS('Data - Průběžky 2021'!$L$3:$L$237,'Data - Průběžky 2021'!$D$3:$D$237,"PO kraje",'Data - Průběžky 2021'!$E$3:$E$237,'Průběžky 2021 - rozdělení'!$A$34)/$B36</f>
        <v>0.5169601066252052</v>
      </c>
      <c r="K36" s="103">
        <f>SUMIFS('Data - Průběžky 2021'!$M$3:$M$237,'Data - Průběžky 2021'!$D$3:$D$237,"PO kraje",'Data - Průběžky 2021'!$E$3:$E$237,'Průběžky 2021 - rozdělení'!$A34)/$B36</f>
        <v>0.13531879368972718</v>
      </c>
      <c r="L36" s="103">
        <f>SUMIFS('Data - Průběžky 2021'!$N$3:$N$237,'Data - Průběžky 2021'!$D$3:$D$237,"PO kraje",'Data - Průběžky 2021'!$E$3:$E$237,'Průběžky 2021 - rozdělení'!$A34)/$B36</f>
        <v>0</v>
      </c>
      <c r="M36" s="103">
        <v>0</v>
      </c>
      <c r="N36" s="103">
        <f>SUMIFS('Data - Průběžky 2021'!$S$3:$S$237,'Data - Průběžky 2021'!$D$3:$D$237,"PO kraje",'Data - Průběžky 2021'!$E$3:$E$237,'Průběžky 2021 - rozdělení'!$A$34)/$B36</f>
        <v>1.4164756576293106E-4</v>
      </c>
      <c r="O36" s="103">
        <v>0</v>
      </c>
      <c r="P36" s="103">
        <v>0</v>
      </c>
      <c r="Q36" s="103">
        <v>0</v>
      </c>
      <c r="R36" s="103">
        <f>(SUMIFS('Data - Průběžky 2021'!$W$3:$W$237,'Data - Průběžky 2021'!$D$3:$D$237,"PO kraje",'Data - Průběžky 2021'!$E$3:$E$237,'Průběžky 2021 - rozdělení'!$A$34)+SUMIFS('Data - Průběžky 2021'!$X$3:$X$237,'Data - Průběžky 2021'!$D$3:$D$237,"PO kraje",'Data - Průběžky 2021'!$E$3:$E$237,'Průběžky 2021 - rozdělení'!$A$34))/$B36</f>
        <v>2.7281787372914672E-4</v>
      </c>
      <c r="S36" s="103">
        <f>SUMIFS('Data - Průběžky 2021'!$Z$3:$Z$237,'Data - Průběžky 2021'!$D$3:$D$237,"PO kraje",'Data - Průběžky 2021'!$E$3:$E$237,'Průběžky 2021 - rozdělení'!$A34)/$B36</f>
        <v>0.21977690492273483</v>
      </c>
      <c r="T36" s="103">
        <f>SUMIFS('Data - Průběžky 2021'!$AB$3:$AB$237,'Data - Průběžky 2021'!$D$3:$D$237,"PO kraje",'Data - Průběžky 2021'!$E$3:$E$237,'Průběžky 2021 - rozdělení'!$A$34)/$B36</f>
        <v>6.6871080590761342E-2</v>
      </c>
      <c r="U36" s="103">
        <v>0</v>
      </c>
      <c r="V36" s="103">
        <f>SUMIFS('Data - Průběžky 2021'!$AA$3:$AA$237,'Data - Průběžky 2021'!$D$3:$D$237,"PO kraje",'Data - Průběžky 2021'!$E$3:$E$237,'Průběžky 2021 - rozdělení'!$A$34)/$B36</f>
        <v>5.4878903008145519E-2</v>
      </c>
      <c r="W36" s="103">
        <f>100%-SUM(J36:V36)</f>
        <v>5.7797457239339156E-3</v>
      </c>
    </row>
    <row r="37" spans="1:23" x14ac:dyDescent="0.15">
      <c r="A37" s="101" t="s">
        <v>789</v>
      </c>
      <c r="B37" s="102">
        <f>SUMIFS('Data - Průběžky 2021'!$J$3:$J$237,'Data - Průběžky 2021'!$D$3:$D$237,"Příspěvková organizace zřízená územním samosprávným celkem",'Data - Průběžky 2021'!$E$3:$E$237,'Průběžky 2021 - rozdělení'!$A$34)</f>
        <v>32974033.280000001</v>
      </c>
      <c r="C37" s="101"/>
      <c r="D37" s="101"/>
      <c r="E37" s="102"/>
      <c r="F37" s="102"/>
      <c r="G37" s="102"/>
      <c r="H37" s="102"/>
      <c r="I37" s="101" t="s">
        <v>789</v>
      </c>
      <c r="J37" s="103">
        <f>SUMIFS('Data - Průběžky 2021'!$L$3:$L$237,'Data - Průběžky 2021'!$D$3:$D$237,"Příspěvková organizace zřízená územním samosprávným celkem",'Data - Průběžky 2021'!$E$3:$E$237,'Průběžky 2021 - rozdělení'!$A$34)/$B37</f>
        <v>0.46956342490838898</v>
      </c>
      <c r="K37" s="103">
        <f>SUMIFS('Data - Průběžky 2021'!$M$3:$M$237,'Data - Průběžky 2021'!$D$3:$D$237,"Příspěvková organizace zřízená územním samosprávným celkem",'Data - Průběžky 2021'!$E$3:$E$237,'Průběžky 2021 - rozdělení'!$A34)/$B37</f>
        <v>0</v>
      </c>
      <c r="L37" s="103">
        <f>SUMIFS('Data - Průběžky 2021'!$N$3:$N$237,'Data - Průběžky 2021'!$D$3:$D$237,"Příspěvková organizace zřízená územním samosprávným celkem",'Data - Průběžky 2021'!$E$3:$E$237,'Průběžky 2021 - rozdělení'!$A$34)/$B37</f>
        <v>0</v>
      </c>
      <c r="M37" s="103">
        <v>0</v>
      </c>
      <c r="N37" s="103">
        <f>SUMIFS('Data - Průběžky 2021'!$S$3:$S$237,'Data - Průběžky 2021'!$D$3:$D$237,"Příspěvková organizace zřízená územním samosprávným celkem",'Data - Průběžky 2021'!$E$3:$E$237,'Průběžky 2021 - rozdělení'!$A$34)/$B37</f>
        <v>0</v>
      </c>
      <c r="O37" s="103">
        <f ca="1">O34/B37</f>
        <v>0.21610944404311586</v>
      </c>
      <c r="P37" s="103">
        <v>0</v>
      </c>
      <c r="Q37" s="103">
        <v>0</v>
      </c>
      <c r="R37" s="103">
        <f>(SUMIFS('Data - Průběžky 2021'!$W$3:$W$237,'Data - Průběžky 2021'!$D$3:$D$237,"Příspěvková organizace zřízená územním samosprávným celkem",'Data - Průběžky 2021'!$E$3:$E$237,'Průběžky 2021 - rozdělení'!$A$34)+SUMIFS('Data - Průběžky 2021'!$X$3:$X$237,'Data - Průběžky 2021'!$D$3:$D$237,"Příspěvková organizace zřízená územním samosprávným celkem",'Data - Průběžky 2021'!$E$3:$E$237,'Průběžky 2021 - rozdělení'!$A$34))/$B37</f>
        <v>0</v>
      </c>
      <c r="S37" s="103">
        <f>SUMIFS('Data - Průběžky 2021'!$Z$3:$Z$237,'Data - Průběžky 2021'!$D$3:$D$237,"Příspěvková organizace zřízená územním samosprávným celkem",'Data - Průběžky 2021'!$E$3:$E$237,'Průběžky 2021 - rozdělení'!$A34)/$B37</f>
        <v>0.15810243641508206</v>
      </c>
      <c r="T37" s="103">
        <f>SUMIFS('Data - Průběžky 2021'!$AB$3:$AB$237,'Data - Průběžky 2021'!$D$3:$D$237,"Příspěvková organizace zřízená územním samosprávným celkem",'Data - Průběžky 2021'!$E$3:$E$237,'Průběžky 2021 - rozdělení'!$A$34)/$B37</f>
        <v>5.0122563289897906E-2</v>
      </c>
      <c r="U37" s="103">
        <v>0</v>
      </c>
      <c r="V37" s="103">
        <f>SUMIFS('Data - Průběžky 2021'!$AA$3:$AA$237,'Data - Průběžky 2021'!$D$3:$D$237,"Příspěvková organizace zřízená územním samosprávným celkem",'Data - Průběžky 2021'!$E$3:$E$237,'Průběžky 2021 - rozdělení'!$A$34)/$B37</f>
        <v>9.8321669432123532E-2</v>
      </c>
      <c r="W37" s="103">
        <f ca="1">100%-SUM(J37:V37)</f>
        <v>7.7804619113917006E-3</v>
      </c>
    </row>
    <row r="38" spans="1:23" x14ac:dyDescent="0.15">
      <c r="A38" s="101" t="s">
        <v>379</v>
      </c>
      <c r="B38" s="102">
        <f>SUMIFS('Data - Průběžky 2021'!$J$3:$J$237,'Data - Průběžky 2021'!$D$3:$D$237,"Obec",'Data - Průběžky 2021'!$E$3:$E$237,'Průběžky 2021 - rozdělení'!$A$34)</f>
        <v>0</v>
      </c>
      <c r="C38" s="101"/>
      <c r="D38" s="101"/>
      <c r="E38" s="102"/>
      <c r="F38" s="102"/>
      <c r="G38" s="102"/>
      <c r="H38" s="102"/>
      <c r="I38" s="101" t="s">
        <v>379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3">
        <v>0</v>
      </c>
      <c r="T38" s="103">
        <v>0</v>
      </c>
      <c r="U38" s="103">
        <v>0</v>
      </c>
      <c r="V38" s="103">
        <v>0</v>
      </c>
      <c r="W38" s="103">
        <v>0</v>
      </c>
    </row>
    <row r="39" spans="1:23" x14ac:dyDescent="0.15">
      <c r="A39" s="101" t="s">
        <v>790</v>
      </c>
      <c r="B39" s="102">
        <f ca="1">B34-B36-B37-B38</f>
        <v>77822565</v>
      </c>
      <c r="C39" s="101"/>
      <c r="D39" s="101"/>
      <c r="E39" s="102"/>
      <c r="F39" s="102"/>
      <c r="G39" s="102"/>
      <c r="H39" s="102"/>
      <c r="I39" s="101" t="s">
        <v>790</v>
      </c>
      <c r="J39" s="103">
        <f ca="1">(J34-(SUMIFS('Data - Průběžky 2021'!$L$3:$L$237,'Data - Průběžky 2021'!$D$3:$D$237,"PO kraje",'Data - Průběžky 2021'!$E$3:$E$237,'Průběžky 2021 - rozdělení'!$A$34)+SUMIFS('Data - Průběžky 2021'!$L$3:$L$237,'Data - Průběžky 2021'!$D$3:$D$237,"Příspěvková organizace zřízená územním samosprávným celkem",'Data - Průběžky 2021'!$E$3:$E$237,'Průběžky 2021 - rozdělení'!$A$34)))/$B39</f>
        <v>0.45560655832919411</v>
      </c>
      <c r="K39" s="103">
        <v>0</v>
      </c>
      <c r="L39" s="103">
        <f ca="1">(L34-(SUMIFS('Data - Průběžky 2021'!$N$3:$N$237,'Data - Průběžky 2021'!$D$3:$D$237,"PO kraje",'Data - Průběžky 2021'!$E$3:$E$237,'Průběžky 2021 - rozdělení'!$A$34)+SUMIFS('Data - Průběžky 2021'!$N$3:$N$237,'Data - Průběžky 2021'!$D$3:$D$237,"Příspěvková organizace zřízená územním samosprávným celkem",'Data - Průběžky 2021'!$E$3:$E$237,'Průběžky 2021 - rozdělení'!$A$34)+SUMIFS('Data - Průběžky 2021'!$N$3:$N$237,'Data - Průběžky 2021'!$D$3:$D$237,"Obec",'Data - Průběžky 2021'!$E$3:$E$237,'Průběžky 2021 - rozdělení'!$A$34)))/$B39</f>
        <v>2.9682907521745138E-3</v>
      </c>
      <c r="M39" s="103">
        <v>0</v>
      </c>
      <c r="N39" s="103">
        <f ca="1">(N34-(SUMIFS('Data - Průběžky 2021'!$S$3:$S$237,'Data - Průběžky 2021'!$D$3:$D$237,"PO kraje",'Data - Průběžky 2021'!$E$3:$E$237,'Průběžky 2021 - rozdělení'!$A$34)+SUMIFS('Data - Průběžky 2021'!$S$3:$S$237,'Data - Průběžky 2021'!$D$3:$D$237,"Příspěvková organizace zřízená územním samosprávným celkem",'Data - Průběžky 2021'!$E$3:$E$237,'Průběžky 2021 - rozdělení'!$A$34)+SUMIFS('Data - Průběžky 2021'!$S$3:$S$237,'Data - Průběžky 2021'!$D$3:$D$237,"Obec",'Data - Průběžky 2021'!$E$3:$E$237,'Průběžky 2021 - rozdělení'!$A$34)))/$B39</f>
        <v>1.9853174975664193E-2</v>
      </c>
      <c r="O39" s="103">
        <v>0</v>
      </c>
      <c r="P39" s="103">
        <v>0</v>
      </c>
      <c r="Q39" s="103">
        <v>0</v>
      </c>
      <c r="R39" s="103">
        <f ca="1">(R34-((SUMIFS('Data - Průběžky 2021'!$W$3:$W$237,'Data - Průběžky 2021'!$D$3:$D$237,"PO kraje",'Data - Průběžky 2021'!$E$3:$E$237,'Průběžky 2021 - rozdělení'!$A$34))+(SUMIFS('Data - Průběžky 2021'!$X$3:$X$237,'Data - Průběžky 2021'!$D$3:$D$237,"PO kraje",'Data - Průběžky 2021'!$E$3:$E$237,'Průběžky 2021 - rozdělení'!$A$34)))+(SUMIFS('Data - Průběžky 2021'!$W$3:$W$237,'Data - Průběžky 2021'!$D$3:$D$237,"Příspěvková organizace zřízená územním samosprávným celkem",'Data - Průběžky 2021'!$E$3:$E$237,'Průběžky 2021 - rozdělení'!$A$34)+SUMIFS('Data - Průběžky 2021'!$X$3:$X$237,'Data - Průběžky 2021'!$D$3:$D$237,"Příspěvková organizace zřízená územním samosprávným celkem",'Data - Průběžky 2021'!$E$3:$E$237,'Průběžky 2021 - rozdělení'!$A$34))+(SUMIFS('Data - Průběžky 2021'!$W$3:$W$237,'Data - Průběžky 2021'!$D$3:$D$237,"Obec",'Data - Průběžky 2021'!$E$3:$E$237,'Průběžky 2021 - rozdělení'!$A$34)+SUMIFS('Data - Průběžky 2021'!$X$3:$X$237,'Data - Průběžky 2021'!$D$3:$D$237,"Obec",'Data - Průběžky 2021'!$E$3:$E$237,'Průběžky 2021 - rozdělení'!$A$34)))/$B39</f>
        <v>0</v>
      </c>
      <c r="S39" s="103">
        <f ca="1">(S34-(SUMIFS('Data - Průběžky 2021'!$Z$3:$Z$237,'Data - Průběžky 2021'!$D$3:$D$237,"PO kraje",'Data - Průběžky 2021'!$E$3:$E$237,'Průběžky 2021 - rozdělení'!$A$34)+SUMIFS('Data - Průběžky 2021'!$Z$3:$Z$237,'Data - Průběžky 2021'!$D$3:$D$237,"Příspěvková organizace zřízená územním samosprávným celkem",'Data - Průběžky 2021'!$E$3:$E$237,'Průběžky 2021 - rozdělení'!$A$34)))/$B39</f>
        <v>0.25791952501180088</v>
      </c>
      <c r="T39" s="103">
        <f ca="1">(T34-(SUMIFS('Data - Průběžky 2021'!$AB$3:$AB$237,'Data - Průběžky 2021'!$D$3:$D$237,"PO kraje",'Data - Průběžky 2021'!$E$3:$E$237,'Průběžky 2021 - rozdělení'!$A$34)+SUMIFS('Data - Průběžky 2021'!$AB$3:$AB$237,'Data - Průběžky 2021'!$D$3:$D$237,"Příspěvková organizace zřízená územním samosprávným celkem",'Data - Průběžky 2021'!$E$3:$E$237,'Průběžky 2021 - rozdělení'!$A$34)))/$B39</f>
        <v>0.17238626097713433</v>
      </c>
      <c r="U39" s="103">
        <v>0</v>
      </c>
      <c r="V39" s="103">
        <f ca="1">(V34-(SUMIFS('Data - Průběžky 2021'!$AA$3:$AA$237,'Data - Průběžky 2021'!$D$3:$D$237,"PO kraje",'Data - Průběžky 2021'!$E$3:$E$237,'Průběžky 2021 - rozdělení'!$A$34)+SUMIFS('Data - Průběžky 2021'!$AA$3:$AA$237,'Data - Průběžky 2021'!$D$3:$D$237,"Příspěvková organizace zřízená územním samosprávným celkem",'Data - Průběžky 2021'!$E$3:$E$237,'Průběžky 2021 - rozdělení'!$A$34)))/$B39</f>
        <v>4.7004490278622919E-2</v>
      </c>
      <c r="W39" s="103">
        <f ca="1">100%-SUM(J39:V39)</f>
        <v>4.4261699675408939E-2</v>
      </c>
    </row>
    <row r="40" spans="1:23" x14ac:dyDescent="0.15">
      <c r="A40" s="92" t="s">
        <v>337</v>
      </c>
      <c r="B40" s="95">
        <f ca="1">SUMIF('Data - Průběžky 2021'!$E$3:$J$238,'Průběžky 2021 - rozdělení'!A40,'Data - Průběžky 2021'!$J$3:$J$238)</f>
        <v>34899148</v>
      </c>
      <c r="C40" s="92">
        <v>136</v>
      </c>
      <c r="D40" s="92">
        <v>52.1</v>
      </c>
      <c r="E40" s="95">
        <f ca="1">B40/C40</f>
        <v>256611.38235294117</v>
      </c>
      <c r="F40" s="95"/>
      <c r="G40" s="95">
        <f ca="1">E40/12</f>
        <v>21384.281862745098</v>
      </c>
      <c r="H40" s="95"/>
      <c r="J40" s="95">
        <f ca="1">SUMIF('Data - Průběžky 2021'!$E$3:$AG$238,'Průběžky 2021 - rozdělení'!A40,'Data - Průběžky 2021'!$L$3:$L$237)</f>
        <v>23420600</v>
      </c>
      <c r="K40" s="95">
        <v>1400000</v>
      </c>
      <c r="L40" s="95">
        <f ca="1">SUMIF('Data - Průběžky 2021'!$E$3:$N$238,'Průběžky 2021 - rozdělení'!A40,'Data - Průběžky 2021'!$N$3:$N$238)</f>
        <v>522000</v>
      </c>
      <c r="M40" s="95">
        <f ca="1">SUMIF('Data - Průběžky 2021'!$E$3:$R$238,'Průběžky 2021 - rozdělení'!A40,'Data - Průběžky 2021'!$O$3:$O$238)+SUMIF('Data - Průběžky 2021'!$E$3:$R$238,'Průběžky 2021 - rozdělení'!A40,'Data - Průběžky 2021'!$P$3:$P$238)+SUMIF('Data - Průběžky 2021'!$E$3:$R$238,'Průběžky 2021 - rozdělení'!A40,'Data - Průběžky 2021'!$Q$3:$Q$238)+SUMIF('Data - Průběžky 2021'!$E$3:$R$238,'Průběžky 2021 - rozdělení'!A40,'Data - Průběžky 2021'!$R$3:$R$238)</f>
        <v>965000</v>
      </c>
      <c r="N40" s="95">
        <f ca="1">SUMIF('Data - Průběžky 2021'!$E$3:$AG$238,'Průběžky 2021 - rozdělení'!A40,'Data - Průběžky 2021'!$S$3:$S$237)</f>
        <v>1411952</v>
      </c>
      <c r="O40" s="95">
        <f ca="1">SUMIF('Data - Průběžky 2021'!$E$3:$AG$238,'Průběžky 2021 - rozdělení'!A40,'Data - Průběžky 2021'!$T$3:$T$237)</f>
        <v>0</v>
      </c>
      <c r="P40" s="95">
        <f ca="1">SUMIF('Data - Průběžky 2021'!$E$3:$AG$238,'Průběžky 2021 - rozdělení'!A40,'Data - Průběžky 2021'!$U$3:$U$237)</f>
        <v>0</v>
      </c>
      <c r="Q40" s="95">
        <f ca="1">SUMIF('Data - Průběžky 2021'!$E$3:$AG$238,'Průběžky 2021 - rozdělení'!A40,'Data - Průběžky 2021'!$V$3:$V$237)</f>
        <v>101587</v>
      </c>
      <c r="R40" s="95">
        <f ca="1">SUMIF('Data - Průběžky 2021'!$E$3:$AG$238,'Průběžky 2021 - rozdělení'!A40,'Data - Průběžky 2021'!$W$3:$W$237)+SUMIF('Data - Průběžky 2021'!$E$3:$AG$238,'Průběžky 2021 - rozdělení'!A40,'Data - Průběžky 2021'!$X$3:$X$237)</f>
        <v>0</v>
      </c>
      <c r="S40" s="95">
        <f ca="1">SUMIF('Data - Průběžky 2021'!$E$3:$AG$238,'Průběžky 2021 - rozdělení'!A40,'Data - Průběžky 2021'!$Z$3:$Z$237)</f>
        <v>6877654</v>
      </c>
      <c r="T40" s="95">
        <f ca="1">SUMIF('Data - Průběžky 2021'!$E$3:$AG$238,'Průběžky 2021 - rozdělení'!A40,'Data - Průběžky 2021'!$AB$3:$AB$237)</f>
        <v>0</v>
      </c>
      <c r="U40" s="95">
        <f ca="1">SUMIF('Data - Průběžky 2021'!$E$3:$AG$238,'Průběžky 2021 - rozdělení'!A40,'Data - Průběžky 2021'!$AC$3:$AC$237)</f>
        <v>0</v>
      </c>
      <c r="V40" s="92">
        <f ca="1">SUMIF('Data - Průběžky 2021'!$E$3:$AG$238,'Průběžky 2021 - rozdělení'!A40,'Data - Průběžky 2021'!$AA$3:$AA$237)</f>
        <v>81997</v>
      </c>
      <c r="W40" s="92">
        <f ca="1">SUMIF('Data - Průběžky 2021'!$E$3:$AG$238,'Průběžky 2021 - rozdělení'!A40,'Data - Průběžky 2021'!$AD$3:$AD$237)+SUMIF('Data - Průběžky 2021'!$E$3:$AG$238,'Průběžky 2021 - rozdělení'!A40,'Data - Průběžky 2021'!$AE$3:$AE$237)+SUMIF('Data - Průběžky 2021'!$E$3:$AG$238,'Průběžky 2021 - rozdělení'!A40,'Data - Průběžky 2021'!$AF$3:$AF$237)+SUMIF('Data - Průběžky 2021'!$E$3:$AG$238,'Průběžky 2021 - rozdělení'!A40,'Data - Průběžky 2021'!$AG$3:$AG$237)</f>
        <v>118358</v>
      </c>
    </row>
    <row r="41" spans="1:23" x14ac:dyDescent="0.15">
      <c r="B41" s="95"/>
      <c r="E41" s="95"/>
      <c r="F41" s="95"/>
      <c r="G41" s="95"/>
      <c r="H41" s="95"/>
      <c r="J41" s="100">
        <f ca="1">J40/$B$40</f>
        <v>0.67109374704505675</v>
      </c>
      <c r="K41" s="100">
        <f t="shared" ref="K41:W41" ca="1" si="13">K40/$B$40</f>
        <v>4.0115592506728241E-2</v>
      </c>
      <c r="L41" s="100">
        <f t="shared" ca="1" si="13"/>
        <v>1.4957385206080103E-2</v>
      </c>
      <c r="M41" s="100">
        <f t="shared" ca="1" si="13"/>
        <v>2.7651104834994826E-2</v>
      </c>
      <c r="N41" s="100">
        <f t="shared" ca="1" si="13"/>
        <v>4.0458065050757115E-2</v>
      </c>
      <c r="O41" s="100">
        <f t="shared" ca="1" si="13"/>
        <v>0</v>
      </c>
      <c r="P41" s="100">
        <f t="shared" ca="1" si="13"/>
        <v>0</v>
      </c>
      <c r="Q41" s="100">
        <f t="shared" ca="1" si="13"/>
        <v>2.9108733542721442E-3</v>
      </c>
      <c r="R41" s="100">
        <f t="shared" ca="1" si="13"/>
        <v>0</v>
      </c>
      <c r="S41" s="100">
        <f t="shared" ca="1" si="13"/>
        <v>0.19707226090447824</v>
      </c>
      <c r="T41" s="100">
        <f t="shared" ca="1" si="13"/>
        <v>0</v>
      </c>
      <c r="U41" s="100">
        <f t="shared" ca="1" si="13"/>
        <v>0</v>
      </c>
      <c r="V41" s="100">
        <f t="shared" ca="1" si="13"/>
        <v>2.3495415991244255E-3</v>
      </c>
      <c r="W41" s="100">
        <f t="shared" ca="1" si="13"/>
        <v>3.3914294985081012E-3</v>
      </c>
    </row>
    <row r="42" spans="1:23" x14ac:dyDescent="0.15">
      <c r="A42" s="153" t="s">
        <v>414</v>
      </c>
      <c r="B42" s="154">
        <f ca="1">SUMIF('Data - Průběžky 2021'!$E$3:$J$238,'Průběžky 2021 - rozdělení'!A42,'Data - Průběžky 2021'!$J$3:$J$238)</f>
        <v>2826242</v>
      </c>
      <c r="C42" s="153">
        <v>14</v>
      </c>
      <c r="D42" s="153">
        <v>5.9300000000000006</v>
      </c>
      <c r="E42" s="154">
        <f ca="1">B42/C42</f>
        <v>201874.42857142858</v>
      </c>
      <c r="F42" s="154"/>
      <c r="G42" s="154">
        <f ca="1">E42/12</f>
        <v>16822.86904761905</v>
      </c>
      <c r="H42" s="154"/>
      <c r="I42" s="153"/>
      <c r="J42" s="154">
        <f ca="1">SUMIF('Data - Průběžky 2021'!$E$3:$AG$238,'Průběžky 2021 - rozdělení'!A42,'Data - Průběžky 2021'!$L$3:$L$237)</f>
        <v>1575000</v>
      </c>
      <c r="K42" s="154">
        <v>0</v>
      </c>
      <c r="L42" s="154">
        <f ca="1">SUMIF('Data - Průběžky 2021'!$E$3:$N$238,'Průběžky 2021 - rozdělení'!A42,'Data - Průběžky 2021'!$N$3:$N$238)</f>
        <v>200000</v>
      </c>
      <c r="M42" s="154">
        <f ca="1">SUMIF('Data - Průběžky 2021'!$E$3:$R$238,'Průběžky 2021 - rozdělení'!A42,'Data - Průběžky 2021'!$O$3:$O$238)+SUMIF('Data - Průběžky 2021'!$E$3:$R$238,'Průběžky 2021 - rozdělení'!A42,'Data - Průběžky 2021'!$P$3:$P$238)+SUMIF('Data - Průběžky 2021'!$E$3:$R$238,'Průběžky 2021 - rozdělení'!A42,'Data - Průběžky 2021'!$Q$3:$Q$238)+SUMIF('Data - Průběžky 2021'!$E$3:$R$238,'Průběžky 2021 - rozdělení'!A42,'Data - Průběžky 2021'!$R$3:$R$238)</f>
        <v>0</v>
      </c>
      <c r="N42" s="154">
        <f ca="1">SUMIF('Data - Průběžky 2021'!$E$3:$AG$238,'Průběžky 2021 - rozdělení'!A42,'Data - Průběžky 2021'!$S$3:$S$237)</f>
        <v>0</v>
      </c>
      <c r="O42" s="154">
        <f ca="1">SUMIF('Data - Průběžky 2021'!$E$3:$AG$238,'Průběžky 2021 - rozdělení'!A42,'Data - Průběžky 2021'!$T$3:$T$237)</f>
        <v>0</v>
      </c>
      <c r="P42" s="154">
        <f ca="1">SUMIF('Data - Průběžky 2021'!$E$3:$AG$238,'Průběžky 2021 - rozdělení'!A42,'Data - Průběžky 2021'!$U$3:$U$237)</f>
        <v>0</v>
      </c>
      <c r="Q42" s="154">
        <f ca="1">SUMIF('Data - Průběžky 2021'!$E$3:$AG$238,'Průběžky 2021 - rozdělení'!A42,'Data - Průběžky 2021'!$V$3:$V$237)</f>
        <v>0</v>
      </c>
      <c r="R42" s="154">
        <f ca="1">SUMIF('Data - Průběžky 2021'!$E$3:$AG$238,'Průběžky 2021 - rozdělení'!A42,'Data - Průběžky 2021'!$W$3:$W$237)+SUMIF('Data - Průběžky 2021'!$E$3:$AG$238,'Průběžky 2021 - rozdělení'!A42,'Data - Průběžky 2021'!$X$3:$X$237)</f>
        <v>0</v>
      </c>
      <c r="S42" s="154">
        <f ca="1">SUMIF('Data - Průběžky 2021'!$E$3:$AG$238,'Průběžky 2021 - rozdělení'!A42,'Data - Průběžky 2021'!$Z$3:$Z$237)</f>
        <v>912353</v>
      </c>
      <c r="T42" s="154">
        <f ca="1">SUMIF('Data - Průběžky 2021'!$E$3:$AG$238,'Průběžky 2021 - rozdělení'!A42,'Data - Průběžky 2021'!$AB$3:$AB$237)</f>
        <v>13929</v>
      </c>
      <c r="U42" s="154">
        <f ca="1">SUMIF('Data - Průběžky 2021'!$E$3:$AG$238,'Průběžky 2021 - rozdělení'!A42,'Data - Průběžky 2021'!$AC$3:$AC$237)</f>
        <v>0</v>
      </c>
      <c r="V42" s="153">
        <f ca="1">SUMIF('Data - Průběžky 2021'!$E$3:$AG$238,'Průběžky 2021 - rozdělení'!A42,'Data - Průběžky 2021'!$AA$3:$AA$237)</f>
        <v>124960</v>
      </c>
      <c r="W42" s="153">
        <f ca="1">SUMIF('Data - Průběžky 2021'!$E$3:$AG$238,'Průběžky 2021 - rozdělení'!A42,'Data - Průběžky 2021'!$AD$3:$AD$237)+SUMIF('Data - Průběžky 2021'!$E$3:$AG$238,'Průběžky 2021 - rozdělení'!A42,'Data - Průběžky 2021'!$AE$3:$AE$237)+SUMIF('Data - Průběžky 2021'!$E$3:$AG$238,'Průběžky 2021 - rozdělení'!A42,'Data - Průběžky 2021'!$AF$3:$AF$237)+SUMIF('Data - Průběžky 2021'!$E$3:$AG$238,'Průběžky 2021 - rozdělení'!A42,'Data - Průběžky 2021'!$AG$3:$AG$237)</f>
        <v>0</v>
      </c>
    </row>
    <row r="43" spans="1:23" x14ac:dyDescent="0.15">
      <c r="A43" s="153"/>
      <c r="B43" s="154"/>
      <c r="C43" s="153"/>
      <c r="D43" s="153"/>
      <c r="E43" s="154"/>
      <c r="F43" s="154"/>
      <c r="G43" s="154"/>
      <c r="H43" s="154"/>
      <c r="I43" s="153"/>
      <c r="J43" s="155">
        <f ca="1">J42/$B$42</f>
        <v>0.55727711922758205</v>
      </c>
      <c r="K43" s="155">
        <f t="shared" ref="K43:W43" ca="1" si="14">K42/$B$42</f>
        <v>0</v>
      </c>
      <c r="L43" s="155">
        <f t="shared" ca="1" si="14"/>
        <v>7.0765348473343759E-2</v>
      </c>
      <c r="M43" s="155">
        <f t="shared" ca="1" si="14"/>
        <v>0</v>
      </c>
      <c r="N43" s="155">
        <f t="shared" ca="1" si="14"/>
        <v>0</v>
      </c>
      <c r="O43" s="155">
        <f t="shared" ca="1" si="14"/>
        <v>0</v>
      </c>
      <c r="P43" s="155">
        <f t="shared" ca="1" si="14"/>
        <v>0</v>
      </c>
      <c r="Q43" s="155">
        <f t="shared" ca="1" si="14"/>
        <v>0</v>
      </c>
      <c r="R43" s="155">
        <f t="shared" ca="1" si="14"/>
        <v>0</v>
      </c>
      <c r="S43" s="155">
        <f t="shared" ca="1" si="14"/>
        <v>0.32281488987850299</v>
      </c>
      <c r="T43" s="155">
        <f t="shared" ca="1" si="14"/>
        <v>4.9284526944260261E-3</v>
      </c>
      <c r="U43" s="155">
        <f t="shared" ca="1" si="14"/>
        <v>0</v>
      </c>
      <c r="V43" s="155">
        <f t="shared" ca="1" si="14"/>
        <v>4.421418972614518E-2</v>
      </c>
      <c r="W43" s="155">
        <f t="shared" ca="1" si="14"/>
        <v>0</v>
      </c>
    </row>
    <row r="44" spans="1:23" x14ac:dyDescent="0.15">
      <c r="A44" s="92" t="s">
        <v>313</v>
      </c>
      <c r="B44" s="95">
        <f ca="1">SUMIF('Data - Průběžky 2021'!$E$3:$J$238,'Průběžky 2021 - rozdělení'!A44,'Data - Průběžky 2021'!$J$3:$J$238)</f>
        <v>9815521</v>
      </c>
      <c r="D44" s="92">
        <v>10.8</v>
      </c>
      <c r="E44" s="95"/>
      <c r="F44" s="95">
        <f ca="1">B44/D44</f>
        <v>908844.53703703696</v>
      </c>
      <c r="G44" s="95"/>
      <c r="H44" s="95">
        <f ca="1">F44/12</f>
        <v>75737.044753086418</v>
      </c>
      <c r="J44" s="95">
        <f ca="1">SUMIF('Data - Průběžky 2021'!$E$3:$AG$238,'Průběžky 2021 - rozdělení'!A44,'Data - Průběžky 2021'!$L$3:$L$237)</f>
        <v>8095500</v>
      </c>
      <c r="K44" s="95">
        <v>0</v>
      </c>
      <c r="L44" s="95">
        <f ca="1">SUMIF('Data - Průběžky 2021'!$E$3:$N$238,'Průběžky 2021 - rozdělení'!A44,'Data - Průběžky 2021'!$N$3:$N$238)</f>
        <v>278000</v>
      </c>
      <c r="M44" s="95">
        <f ca="1">SUMIF('Data - Průběžky 2021'!$E$3:$R$238,'Průběžky 2021 - rozdělení'!A44,'Data - Průběžky 2021'!$O$3:$O$238)+SUMIF('Data - Průběžky 2021'!$E$3:$R$238,'Průběžky 2021 - rozdělení'!A44,'Data - Průběžky 2021'!$P$3:$P$238)+SUMIF('Data - Průběžky 2021'!$E$3:$R$238,'Průběžky 2021 - rozdělení'!A44,'Data - Průběžky 2021'!$Q$3:$Q$238)+SUMIF('Data - Průběžky 2021'!$E$3:$R$238,'Průběžky 2021 - rozdělení'!A44,'Data - Průběžky 2021'!$R$3:$R$238)</f>
        <v>0</v>
      </c>
      <c r="N44" s="95">
        <f ca="1">SUMIF('Data - Průběžky 2021'!$E$3:$AG$238,'Průběžky 2021 - rozdělení'!A44,'Data - Průběžky 2021'!$S$3:$S$237)</f>
        <v>1442021</v>
      </c>
      <c r="O44" s="95">
        <f ca="1">SUMIF('Data - Průběžky 2021'!$E$3:$AG$238,'Průběžky 2021 - rozdělení'!A44,'Data - Průběžky 2021'!$T$3:$T$237)</f>
        <v>0</v>
      </c>
      <c r="P44" s="95">
        <f ca="1">SUMIF('Data - Průběžky 2021'!$E$3:$AG$238,'Průběžky 2021 - rozdělení'!A44,'Data - Průběžky 2021'!$U$3:$U$237)</f>
        <v>0</v>
      </c>
      <c r="Q44" s="95">
        <f ca="1">SUMIF('Data - Průběžky 2021'!$E$3:$AG$238,'Průběžky 2021 - rozdělení'!A44,'Data - Průběžky 2021'!$V$3:$V$237)</f>
        <v>0</v>
      </c>
      <c r="R44" s="95">
        <f ca="1">SUMIF('Data - Průběžky 2021'!$E$3:$AG$238,'Průběžky 2021 - rozdělení'!A44,'Data - Průběžky 2021'!$W$3:$W$237)+SUMIF('Data - Průběžky 2021'!$E$3:$AG$238,'Průběžky 2021 - rozdělení'!A44,'Data - Průběžky 2021'!$X$3:$X$237)</f>
        <v>0</v>
      </c>
      <c r="S44" s="95">
        <f ca="1">SUMIF('Data - Průběžky 2021'!$E$3:$AG$238,'Průběžky 2021 - rozdělení'!A44,'Data - Průběžky 2021'!$Z$3:$Z$237)</f>
        <v>0</v>
      </c>
      <c r="T44" s="95">
        <f ca="1">SUMIF('Data - Průběžky 2021'!$E$3:$AG$238,'Průběžky 2021 - rozdělení'!A44,'Data - Průběžky 2021'!$AB$3:$AB$237)</f>
        <v>0</v>
      </c>
      <c r="U44" s="95">
        <f ca="1">SUMIF('Data - Průběžky 2021'!$E$3:$AG$238,'Průběžky 2021 - rozdělení'!A44,'Data - Průběžky 2021'!$AC$3:$AC$237)</f>
        <v>0</v>
      </c>
      <c r="V44" s="92">
        <f ca="1">SUMIF('Data - Průběžky 2021'!$E$3:$AG$238,'Průběžky 2021 - rozdělení'!A44,'Data - Průběžky 2021'!$AA$3:$AA$237)</f>
        <v>0</v>
      </c>
      <c r="W44" s="92">
        <f ca="1">SUMIF('Data - Průběžky 2021'!$E$3:$AG$238,'Průběžky 2021 - rozdělení'!A44,'Data - Průběžky 2021'!$AD$3:$AD$237)+SUMIF('Data - Průběžky 2021'!$E$3:$AG$238,'Průběžky 2021 - rozdělení'!A44,'Data - Průběžky 2021'!$AE$3:$AE$237)+SUMIF('Data - Průběžky 2021'!$E$3:$AG$238,'Průběžky 2021 - rozdělení'!A44,'Data - Průběžky 2021'!$AF$3:$AF$237)+SUMIF('Data - Průběžky 2021'!$E$3:$AG$238,'Průběžky 2021 - rozdělení'!A44,'Data - Průběžky 2021'!$AG$3:$AG$237)</f>
        <v>0</v>
      </c>
    </row>
    <row r="45" spans="1:23" x14ac:dyDescent="0.15">
      <c r="B45" s="95"/>
      <c r="E45" s="95"/>
      <c r="F45" s="95"/>
      <c r="G45" s="95"/>
      <c r="H45" s="95"/>
      <c r="J45" s="100">
        <f ca="1">J44/$B$44</f>
        <v>0.82476518566869761</v>
      </c>
      <c r="K45" s="100">
        <f t="shared" ref="K45:W45" ca="1" si="15">K44/$B$44</f>
        <v>0</v>
      </c>
      <c r="L45" s="100">
        <f t="shared" ca="1" si="15"/>
        <v>2.8322490471978004E-2</v>
      </c>
      <c r="M45" s="100">
        <f t="shared" ca="1" si="15"/>
        <v>0</v>
      </c>
      <c r="N45" s="100">
        <f t="shared" ca="1" si="15"/>
        <v>0.14691232385932443</v>
      </c>
      <c r="O45" s="100">
        <f t="shared" ca="1" si="15"/>
        <v>0</v>
      </c>
      <c r="P45" s="100">
        <f t="shared" ca="1" si="15"/>
        <v>0</v>
      </c>
      <c r="Q45" s="100">
        <f t="shared" ca="1" si="15"/>
        <v>0</v>
      </c>
      <c r="R45" s="100">
        <f t="shared" ca="1" si="15"/>
        <v>0</v>
      </c>
      <c r="S45" s="100">
        <f t="shared" ca="1" si="15"/>
        <v>0</v>
      </c>
      <c r="T45" s="100">
        <f t="shared" ca="1" si="15"/>
        <v>0</v>
      </c>
      <c r="U45" s="100">
        <f t="shared" ca="1" si="15"/>
        <v>0</v>
      </c>
      <c r="V45" s="100">
        <f t="shared" ca="1" si="15"/>
        <v>0</v>
      </c>
      <c r="W45" s="100">
        <f t="shared" ca="1" si="15"/>
        <v>0</v>
      </c>
    </row>
    <row r="46" spans="1:23" x14ac:dyDescent="0.15">
      <c r="A46" s="153" t="s">
        <v>304</v>
      </c>
      <c r="B46" s="154">
        <f ca="1">SUMIF('Data - Průběžky 2021'!$E$3:$J$238,'Průběžky 2021 - rozdělení'!A46,'Data - Průběžky 2021'!$J$3:$J$238)</f>
        <v>3696537</v>
      </c>
      <c r="C46" s="153"/>
      <c r="D46" s="153">
        <v>6.35</v>
      </c>
      <c r="E46" s="154"/>
      <c r="F46" s="154">
        <f ca="1">B46/D46</f>
        <v>582131.81102362205</v>
      </c>
      <c r="G46" s="154"/>
      <c r="H46" s="154">
        <f ca="1">F46/12</f>
        <v>48510.984251968504</v>
      </c>
      <c r="I46" s="153"/>
      <c r="J46" s="154">
        <f ca="1">SUMIF('Data - Průběžky 2021'!$E$3:$AG$238,'Průběžky 2021 - rozdělení'!A46,'Data - Průběžky 2021'!$L$3:$L$237)</f>
        <v>2855000</v>
      </c>
      <c r="K46" s="154">
        <v>358817</v>
      </c>
      <c r="L46" s="154">
        <f ca="1">SUMIF('Data - Průběžky 2021'!$E$3:$N$238,'Průběžky 2021 - rozdělení'!A46,'Data - Průběžky 2021'!$N$3:$N$238)</f>
        <v>0</v>
      </c>
      <c r="M46" s="154">
        <f ca="1">SUMIF('Data - Průběžky 2021'!$E$3:$R$238,'Průběžky 2021 - rozdělení'!A46,'Data - Průběžky 2021'!$O$3:$O$238)+SUMIF('Data - Průběžky 2021'!$E$3:$R$238,'Průběžky 2021 - rozdělení'!A46,'Data - Průběžky 2021'!$P$3:$P$238)+SUMIF('Data - Průběžky 2021'!$E$3:$R$238,'Průběžky 2021 - rozdělení'!A46,'Data - Průběžky 2021'!$Q$3:$Q$238)+SUMIF('Data - Průběžky 2021'!$E$3:$R$238,'Průběžky 2021 - rozdělení'!A46,'Data - Průběžky 2021'!$R$3:$R$238)</f>
        <v>41220</v>
      </c>
      <c r="N46" s="154">
        <f ca="1">SUMIF('Data - Průběžky 2021'!$E$3:$AG$238,'Průběžky 2021 - rozdělení'!A46,'Data - Průběžky 2021'!$S$3:$S$237)</f>
        <v>0</v>
      </c>
      <c r="O46" s="154">
        <f ca="1">SUMIF('Data - Průběžky 2021'!$E$3:$AG$238,'Průběžky 2021 - rozdělení'!A46,'Data - Průběžky 2021'!$T$3:$T$237)</f>
        <v>0</v>
      </c>
      <c r="P46" s="154">
        <f ca="1">SUMIF('Data - Průběžky 2021'!$E$3:$AG$238,'Průběžky 2021 - rozdělení'!A46,'Data - Průběžky 2021'!$U$3:$U$237)</f>
        <v>0</v>
      </c>
      <c r="Q46" s="154">
        <f ca="1">SUMIF('Data - Průběžky 2021'!$E$3:$AG$238,'Průběžky 2021 - rozdělení'!A46,'Data - Průběžky 2021'!$V$3:$V$237)</f>
        <v>0</v>
      </c>
      <c r="R46" s="154">
        <f ca="1">SUMIF('Data - Průběžky 2021'!$E$3:$AG$238,'Průběžky 2021 - rozdělení'!A46,'Data - Průběžky 2021'!$W$3:$W$237)+SUMIF('Data - Průběžky 2021'!$E$3:$AG$238,'Průběžky 2021 - rozdělení'!A46,'Data - Průběžky 2021'!$X$3:$X$237)</f>
        <v>436500</v>
      </c>
      <c r="S46" s="154">
        <f ca="1">SUMIF('Data - Průběžky 2021'!$E$3:$AG$238,'Průběžky 2021 - rozdělení'!A46,'Data - Průběžky 2021'!$Z$3:$Z$237)</f>
        <v>0</v>
      </c>
      <c r="T46" s="154">
        <f ca="1">SUMIF('Data - Průběžky 2021'!$E$3:$AG$238,'Průběžky 2021 - rozdělení'!A46,'Data - Průběžky 2021'!$AB$3:$AB$237)</f>
        <v>0</v>
      </c>
      <c r="U46" s="154">
        <f ca="1">SUMIF('Data - Průběžky 2021'!$E$3:$AG$238,'Průběžky 2021 - rozdělení'!A46,'Data - Průběžky 2021'!$AC$3:$AC$237)</f>
        <v>0</v>
      </c>
      <c r="V46" s="153">
        <f ca="1">SUMIF('Data - Průběžky 2021'!$E$3:$AG$238,'Průběžky 2021 - rozdělení'!A46,'Data - Průběžky 2021'!$AA$3:$AA$237)</f>
        <v>0</v>
      </c>
      <c r="W46" s="153">
        <f ca="1">SUMIF('Data - Průběžky 2021'!$E$3:$AG$238,'Průběžky 2021 - rozdělení'!A46,'Data - Průběžky 2021'!$AD$3:$AD$237)+SUMIF('Data - Průběžky 2021'!$E$3:$AG$238,'Průběžky 2021 - rozdělení'!A46,'Data - Průběžky 2021'!$AE$3:$AE$237)+SUMIF('Data - Průběžky 2021'!$E$3:$AG$238,'Průběžky 2021 - rozdělení'!A46,'Data - Průběžky 2021'!$AF$3:$AF$237)+SUMIF('Data - Průběžky 2021'!$E$3:$AG$238,'Průběžky 2021 - rozdělení'!A46,'Data - Průběžky 2021'!$AG$3:$AG$237)</f>
        <v>5000</v>
      </c>
    </row>
    <row r="47" spans="1:23" x14ac:dyDescent="0.15">
      <c r="A47" s="153"/>
      <c r="B47" s="154"/>
      <c r="C47" s="153"/>
      <c r="D47" s="153"/>
      <c r="E47" s="154"/>
      <c r="F47" s="154"/>
      <c r="G47" s="154"/>
      <c r="H47" s="154"/>
      <c r="I47" s="153"/>
      <c r="J47" s="155">
        <f ca="1">J46/$B$46</f>
        <v>0.772344494319954</v>
      </c>
      <c r="K47" s="155">
        <f t="shared" ref="K47:W47" ca="1" si="16">K46/$B$46</f>
        <v>9.7068418360211198E-2</v>
      </c>
      <c r="L47" s="155">
        <f t="shared" ca="1" si="16"/>
        <v>0</v>
      </c>
      <c r="M47" s="155">
        <f t="shared" ca="1" si="16"/>
        <v>1.1150977252493347E-2</v>
      </c>
      <c r="N47" s="155">
        <f t="shared" ca="1" si="16"/>
        <v>0</v>
      </c>
      <c r="O47" s="155">
        <f t="shared" ca="1" si="16"/>
        <v>0</v>
      </c>
      <c r="P47" s="155">
        <f t="shared" ca="1" si="16"/>
        <v>0</v>
      </c>
      <c r="Q47" s="155">
        <f t="shared" ca="1" si="16"/>
        <v>0</v>
      </c>
      <c r="R47" s="155">
        <f t="shared" ca="1" si="16"/>
        <v>0.11808349273928545</v>
      </c>
      <c r="S47" s="155">
        <f t="shared" ca="1" si="16"/>
        <v>0</v>
      </c>
      <c r="T47" s="155">
        <f t="shared" ca="1" si="16"/>
        <v>0</v>
      </c>
      <c r="U47" s="155">
        <f t="shared" ca="1" si="16"/>
        <v>0</v>
      </c>
      <c r="V47" s="155">
        <f t="shared" ca="1" si="16"/>
        <v>0</v>
      </c>
      <c r="W47" s="155">
        <f t="shared" ca="1" si="16"/>
        <v>1.3526173280559615E-3</v>
      </c>
    </row>
    <row r="48" spans="1:23" x14ac:dyDescent="0.15">
      <c r="A48" s="92" t="s">
        <v>322</v>
      </c>
      <c r="B48" s="95">
        <f ca="1">SUMIF('Data - Průběžky 2021'!$E$3:$J$238,'Průběžky 2021 - rozdělení'!A48,'Data - Průběžky 2021'!$J$3:$J$238)</f>
        <v>1481452</v>
      </c>
      <c r="D48" s="92">
        <v>2.44</v>
      </c>
      <c r="E48" s="95"/>
      <c r="F48" s="95">
        <f ca="1">B48/D48</f>
        <v>607152.4590163934</v>
      </c>
      <c r="G48" s="95"/>
      <c r="H48" s="95">
        <f ca="1">F48/12</f>
        <v>50596.038251366117</v>
      </c>
      <c r="J48" s="95">
        <f ca="1">SUMIF('Data - Průběžky 2021'!$E$3:$AG$238,'Průběžky 2021 - rozdělení'!A48,'Data - Průběžky 2021'!$L$3:$L$237)</f>
        <v>1331000</v>
      </c>
      <c r="K48" s="95">
        <v>0</v>
      </c>
      <c r="L48" s="95">
        <f ca="1">SUMIF('Data - Průběžky 2021'!$E$3:$N$238,'Průběžky 2021 - rozdělení'!A48,'Data - Průběžky 2021'!$N$3:$N$238)</f>
        <v>52000</v>
      </c>
      <c r="M48" s="95">
        <f ca="1">SUMIF('Data - Průběžky 2021'!$E$3:$R$238,'Průběžky 2021 - rozdělení'!A48,'Data - Průběžky 2021'!$O$3:$O$238)+SUMIF('Data - Průběžky 2021'!$E$3:$R$238,'Průběžky 2021 - rozdělení'!A48,'Data - Průběžky 2021'!$P$3:$P$238)+SUMIF('Data - Průběžky 2021'!$E$3:$R$238,'Průběžky 2021 - rozdělení'!A48,'Data - Průběžky 2021'!$Q$3:$Q$238)+SUMIF('Data - Průběžky 2021'!$E$3:$R$238,'Průběžky 2021 - rozdělení'!A48,'Data - Průběžky 2021'!$R$3:$R$238)</f>
        <v>0</v>
      </c>
      <c r="N48" s="95">
        <f ca="1">SUMIF('Data - Průběžky 2021'!$E$3:$AG$238,'Průběžky 2021 - rozdělení'!A48,'Data - Průběžky 2021'!$S$3:$S$237)</f>
        <v>98452</v>
      </c>
      <c r="O48" s="95">
        <f ca="1">SUMIF('Data - Průběžky 2021'!$E$3:$AG$238,'Průběžky 2021 - rozdělení'!A48,'Data - Průběžky 2021'!$T$3:$T$237)</f>
        <v>0</v>
      </c>
      <c r="P48" s="95">
        <f ca="1">SUMIF('Data - Průběžky 2021'!$E$3:$AG$238,'Průběžky 2021 - rozdělení'!A48,'Data - Průběžky 2021'!$U$3:$U$237)</f>
        <v>0</v>
      </c>
      <c r="Q48" s="95">
        <f ca="1">SUMIF('Data - Průběžky 2021'!$E$3:$AG$238,'Průběžky 2021 - rozdělení'!A48,'Data - Průběžky 2021'!$V$3:$V$237)</f>
        <v>0</v>
      </c>
      <c r="R48" s="95">
        <f ca="1">SUMIF('Data - Průběžky 2021'!$E$3:$AG$238,'Průběžky 2021 - rozdělení'!A48,'Data - Průběžky 2021'!$W$3:$W$237)+SUMIF('Data - Průběžky 2021'!$E$3:$AG$238,'Průběžky 2021 - rozdělení'!A48,'Data - Průběžky 2021'!$X$3:$X$237)</f>
        <v>0</v>
      </c>
      <c r="S48" s="95">
        <f ca="1">SUMIF('Data - Průběžky 2021'!$E$3:$AG$238,'Průběžky 2021 - rozdělení'!A48,'Data - Průběžky 2021'!$Z$3:$Z$237)</f>
        <v>0</v>
      </c>
      <c r="T48" s="95">
        <f ca="1">SUMIF('Data - Průběžky 2021'!$E$3:$AG$238,'Průběžky 2021 - rozdělení'!A48,'Data - Průběžky 2021'!$AB$3:$AB$237)</f>
        <v>0</v>
      </c>
      <c r="U48" s="95">
        <f ca="1">SUMIF('Data - Průběžky 2021'!$E$3:$AG$238,'Průběžky 2021 - rozdělení'!A48,'Data - Průběžky 2021'!$AC$3:$AC$237)</f>
        <v>0</v>
      </c>
      <c r="V48" s="92">
        <f ca="1">SUMIF('Data - Průběžky 2021'!$E$3:$AG$238,'Průběžky 2021 - rozdělení'!A48,'Data - Průběžky 2021'!$AA$3:$AA$237)</f>
        <v>0</v>
      </c>
      <c r="W48" s="92">
        <f ca="1">SUMIF('Data - Průběžky 2021'!$E$3:$AG$238,'Průběžky 2021 - rozdělení'!A48,'Data - Průběžky 2021'!$AD$3:$AD$237)+SUMIF('Data - Průběžky 2021'!$E$3:$AG$238,'Průběžky 2021 - rozdělení'!A48,'Data - Průběžky 2021'!$AE$3:$AE$237)+SUMIF('Data - Průběžky 2021'!$E$3:$AG$238,'Průběžky 2021 - rozdělení'!A48,'Data - Průběžky 2021'!$AF$3:$AF$237)+SUMIF('Data - Průběžky 2021'!$E$3:$AG$238,'Průběžky 2021 - rozdělení'!A48,'Data - Průběžky 2021'!$AG$3:$AG$237)</f>
        <v>0</v>
      </c>
    </row>
    <row r="49" spans="1:23" x14ac:dyDescent="0.15">
      <c r="B49" s="95"/>
      <c r="E49" s="95"/>
      <c r="F49" s="95"/>
      <c r="G49" s="95"/>
      <c r="H49" s="95"/>
      <c r="J49" s="100">
        <f ca="1">J48/$B$48</f>
        <v>0.89844287901329234</v>
      </c>
      <c r="K49" s="100">
        <f t="shared" ref="K49:W49" ca="1" si="17">K48/$B$48</f>
        <v>0</v>
      </c>
      <c r="L49" s="100">
        <f t="shared" ca="1" si="17"/>
        <v>3.5100698503900227E-2</v>
      </c>
      <c r="M49" s="100">
        <f t="shared" ca="1" si="17"/>
        <v>0</v>
      </c>
      <c r="N49" s="100">
        <f t="shared" ca="1" si="17"/>
        <v>6.6456422482807406E-2</v>
      </c>
      <c r="O49" s="100">
        <f t="shared" ca="1" si="17"/>
        <v>0</v>
      </c>
      <c r="P49" s="100">
        <f t="shared" ca="1" si="17"/>
        <v>0</v>
      </c>
      <c r="Q49" s="100">
        <f t="shared" ca="1" si="17"/>
        <v>0</v>
      </c>
      <c r="R49" s="100">
        <f t="shared" ca="1" si="17"/>
        <v>0</v>
      </c>
      <c r="S49" s="100">
        <f t="shared" ca="1" si="17"/>
        <v>0</v>
      </c>
      <c r="T49" s="100">
        <f t="shared" ca="1" si="17"/>
        <v>0</v>
      </c>
      <c r="U49" s="100">
        <f t="shared" ca="1" si="17"/>
        <v>0</v>
      </c>
      <c r="V49" s="100">
        <f t="shared" ca="1" si="17"/>
        <v>0</v>
      </c>
      <c r="W49" s="100">
        <f t="shared" ca="1" si="17"/>
        <v>0</v>
      </c>
    </row>
    <row r="50" spans="1:23" x14ac:dyDescent="0.15">
      <c r="A50" s="153" t="s">
        <v>364</v>
      </c>
      <c r="B50" s="154">
        <f ca="1">SUMIF('Data - Průběžky 2021'!$E$3:$J$238,'Průběžky 2021 - rozdělení'!A50,'Data - Průběžky 2021'!$J$3:$J$238)</f>
        <v>23647877.690000001</v>
      </c>
      <c r="C50" s="153">
        <v>223</v>
      </c>
      <c r="D50" s="153">
        <v>49.35</v>
      </c>
      <c r="E50" s="154">
        <f ca="1">B50/C50</f>
        <v>106044.29457399104</v>
      </c>
      <c r="F50" s="154"/>
      <c r="G50" s="154">
        <f ca="1">E50/12</f>
        <v>8837.0245478325869</v>
      </c>
      <c r="H50" s="154"/>
      <c r="I50" s="153"/>
      <c r="J50" s="154">
        <f ca="1">SUMIF('Data - Průběžky 2021'!$E$3:$AG$238,'Průběžky 2021 - rozdělení'!A50,'Data - Průběžky 2021'!$L$3:$L$237)</f>
        <v>15154000</v>
      </c>
      <c r="K50" s="154">
        <v>0</v>
      </c>
      <c r="L50" s="154">
        <f ca="1">SUMIF('Data - Průběžky 2021'!$E$3:$N$238,'Průběžky 2021 - rozdělení'!A50,'Data - Průběžky 2021'!$N$3:$N$238)</f>
        <v>463000</v>
      </c>
      <c r="M50" s="154">
        <f ca="1">SUMIF('Data - Průběžky 2021'!$E$3:$R$238,'Průběžky 2021 - rozdělení'!A50,'Data - Průběžky 2021'!$O$3:$O$238)+SUMIF('Data - Průběžky 2021'!$E$3:$R$238,'Průběžky 2021 - rozdělení'!A50,'Data - Průběžky 2021'!$P$3:$P$238)+SUMIF('Data - Průběžky 2021'!$E$3:$R$238,'Průběžky 2021 - rozdělení'!A50,'Data - Průběžky 2021'!$Q$3:$Q$238)+SUMIF('Data - Průběžky 2021'!$E$3:$R$238,'Průběžky 2021 - rozdělení'!A50,'Data - Průběžky 2021'!$R$3:$R$238)</f>
        <v>0</v>
      </c>
      <c r="N50" s="154">
        <f ca="1">SUMIF('Data - Průběžky 2021'!$E$3:$AG$238,'Průběžky 2021 - rozdělení'!A50,'Data - Průběžky 2021'!$S$3:$S$237)</f>
        <v>1873938</v>
      </c>
      <c r="O50" s="154">
        <f ca="1">SUMIF('Data - Průběžky 2021'!$E$3:$AG$238,'Průběžky 2021 - rozdělení'!A50,'Data - Průběžky 2021'!$T$3:$T$237)</f>
        <v>2218640</v>
      </c>
      <c r="P50" s="154">
        <f ca="1">SUMIF('Data - Průběžky 2021'!$E$3:$AG$238,'Průběžky 2021 - rozdělení'!A50,'Data - Průběžky 2021'!$U$3:$U$237)</f>
        <v>1963278.75</v>
      </c>
      <c r="Q50" s="154">
        <f ca="1">SUMIF('Data - Průběžky 2021'!$E$3:$AG$238,'Průběžky 2021 - rozdělení'!A50,'Data - Průběžky 2021'!$V$3:$V$237)</f>
        <v>0</v>
      </c>
      <c r="R50" s="154">
        <f ca="1">SUMIF('Data - Průběžky 2021'!$E$3:$AG$238,'Průběžky 2021 - rozdělení'!A50,'Data - Průběžky 2021'!$W$3:$W$237)+SUMIF('Data - Průběžky 2021'!$E$3:$AG$238,'Průběžky 2021 - rozdělení'!A50,'Data - Průběžky 2021'!$X$3:$X$237)</f>
        <v>50252</v>
      </c>
      <c r="S50" s="154">
        <f ca="1">SUMIF('Data - Průběžky 2021'!$E$3:$AG$238,'Průběžky 2021 - rozdělení'!A50,'Data - Průběžky 2021'!$Z$3:$Z$237)</f>
        <v>1219661</v>
      </c>
      <c r="T50" s="154">
        <f ca="1">SUMIF('Data - Průběžky 2021'!$E$3:$AG$238,'Průběžky 2021 - rozdělení'!A50,'Data - Průběžky 2021'!$AB$3:$AB$237)</f>
        <v>0</v>
      </c>
      <c r="U50" s="154">
        <f ca="1">SUMIF('Data - Průběžky 2021'!$E$3:$AG$238,'Průběžky 2021 - rozdělení'!A50,'Data - Průběžky 2021'!$AC$3:$AC$237)</f>
        <v>0</v>
      </c>
      <c r="V50" s="153">
        <f ca="1">SUMIF('Data - Průběžky 2021'!$E$3:$AG$238,'Průběžky 2021 - rozdělení'!A50,'Data - Průběžky 2021'!$AA$3:$AA$237)</f>
        <v>187993</v>
      </c>
      <c r="W50" s="153">
        <f ca="1">SUMIF('Data - Průběžky 2021'!$E$3:$AG$238,'Průběžky 2021 - rozdělení'!A50,'Data - Průběžky 2021'!$AD$3:$AD$237)+SUMIF('Data - Průběžky 2021'!$E$3:$AG$238,'Průběžky 2021 - rozdělení'!A50,'Data - Průběžky 2021'!$AE$3:$AE$237)+SUMIF('Data - Průběžky 2021'!$E$3:$AG$238,'Průběžky 2021 - rozdělení'!A50,'Data - Průběžky 2021'!$AF$3:$AF$237)+SUMIF('Data - Průběžky 2021'!$E$3:$AG$238,'Průběžky 2021 - rozdělení'!A50,'Data - Průběžky 2021'!$AG$3:$AG$237)</f>
        <v>517114.94</v>
      </c>
    </row>
    <row r="51" spans="1:23" x14ac:dyDescent="0.15">
      <c r="A51" s="153"/>
      <c r="B51" s="154"/>
      <c r="C51" s="153"/>
      <c r="D51" s="153"/>
      <c r="E51" s="154"/>
      <c r="F51" s="154"/>
      <c r="G51" s="154"/>
      <c r="H51" s="154"/>
      <c r="I51" s="153"/>
      <c r="J51" s="155">
        <f ca="1">J50/$B$50</f>
        <v>0.64081860531645873</v>
      </c>
      <c r="K51" s="155">
        <f t="shared" ref="K51:W51" ca="1" si="18">K50/$B$50</f>
        <v>0</v>
      </c>
      <c r="L51" s="155">
        <f t="shared" ca="1" si="18"/>
        <v>1.9578923997724717E-2</v>
      </c>
      <c r="M51" s="155">
        <f t="shared" ca="1" si="18"/>
        <v>0</v>
      </c>
      <c r="N51" s="155">
        <f t="shared" ca="1" si="18"/>
        <v>7.9243390234229508E-2</v>
      </c>
      <c r="O51" s="155">
        <f t="shared" ca="1" si="18"/>
        <v>9.3819835719896258E-2</v>
      </c>
      <c r="P51" s="155">
        <f t="shared" ca="1" si="18"/>
        <v>8.3021350826345541E-2</v>
      </c>
      <c r="Q51" s="155">
        <f t="shared" ca="1" si="18"/>
        <v>0</v>
      </c>
      <c r="R51" s="155">
        <f t="shared" ca="1" si="18"/>
        <v>2.1250109907854481E-3</v>
      </c>
      <c r="S51" s="155">
        <f t="shared" ca="1" si="18"/>
        <v>5.1575917974058159E-2</v>
      </c>
      <c r="T51" s="155">
        <f t="shared" ca="1" si="18"/>
        <v>0</v>
      </c>
      <c r="U51" s="155">
        <f t="shared" ca="1" si="18"/>
        <v>0</v>
      </c>
      <c r="V51" s="155">
        <f t="shared" ca="1" si="18"/>
        <v>7.9496774494692505E-3</v>
      </c>
      <c r="W51" s="155">
        <f t="shared" ca="1" si="18"/>
        <v>2.1867287491032349E-2</v>
      </c>
    </row>
    <row r="52" spans="1:23" x14ac:dyDescent="0.15">
      <c r="A52" s="92" t="s">
        <v>406</v>
      </c>
      <c r="B52" s="95">
        <f ca="1">SUMIF('Data - Průběžky 2021'!$E$3:$J$238,'Průběžky 2021 - rozdělení'!A52,'Data - Průběžky 2021'!$J$3:$J$238)</f>
        <v>3478517</v>
      </c>
      <c r="C52" s="92">
        <v>15</v>
      </c>
      <c r="D52" s="92">
        <v>5.59</v>
      </c>
      <c r="E52" s="95">
        <f ca="1">B52/C52</f>
        <v>231901.13333333333</v>
      </c>
      <c r="F52" s="95"/>
      <c r="G52" s="95">
        <f ca="1">E52/12</f>
        <v>19325.094444444443</v>
      </c>
      <c r="H52" s="95"/>
      <c r="J52" s="95">
        <f ca="1">SUMIF('Data - Průběžky 2021'!$E$3:$AG$238,'Průběžky 2021 - rozdělení'!A52,'Data - Průběžky 2021'!$L$3:$L$237)</f>
        <v>2776000</v>
      </c>
      <c r="K52" s="95">
        <v>0</v>
      </c>
      <c r="L52" s="95">
        <f ca="1">SUMIF('Data - Průběžky 2021'!$E$3:$N$238,'Průběžky 2021 - rozdělení'!A52,'Data - Průběžky 2021'!$N$3:$N$238)</f>
        <v>87000</v>
      </c>
      <c r="M52" s="95">
        <f ca="1">SUMIF('Data - Průběžky 2021'!$E$3:$R$238,'Průběžky 2021 - rozdělení'!A52,'Data - Průběžky 2021'!$O$3:$O$238)+SUMIF('Data - Průběžky 2021'!$E$3:$R$238,'Průběžky 2021 - rozdělení'!A52,'Data - Průběžky 2021'!$P$3:$P$238)+SUMIF('Data - Průběžky 2021'!$E$3:$R$238,'Průběžky 2021 - rozdělení'!A52,'Data - Průběžky 2021'!$Q$3:$Q$238)+SUMIF('Data - Průběžky 2021'!$E$3:$R$238,'Průběžky 2021 - rozdělení'!A52,'Data - Průběžky 2021'!$R$3:$R$238)</f>
        <v>0</v>
      </c>
      <c r="N52" s="95">
        <f ca="1">SUMIF('Data - Průběžky 2021'!$E$3:$AG$238,'Průběžky 2021 - rozdělení'!A52,'Data - Průběžky 2021'!$S$3:$S$237)</f>
        <v>280517</v>
      </c>
      <c r="O52" s="95">
        <f ca="1">SUMIF('Data - Průběžky 2021'!$E$3:$AG$238,'Průběžky 2021 - rozdělení'!A52,'Data - Průběžky 2021'!$T$3:$T$237)</f>
        <v>0</v>
      </c>
      <c r="P52" s="95">
        <f ca="1">SUMIF('Data - Průběžky 2021'!$E$3:$AG$238,'Průběžky 2021 - rozdělení'!A52,'Data - Průběžky 2021'!$U$3:$U$237)</f>
        <v>0</v>
      </c>
      <c r="Q52" s="95">
        <f ca="1">SUMIF('Data - Průběžky 2021'!$E$3:$AG$238,'Průběžky 2021 - rozdělení'!A52,'Data - Průběžky 2021'!$V$3:$V$237)</f>
        <v>0</v>
      </c>
      <c r="R52" s="95">
        <f ca="1">SUMIF('Data - Průběžky 2021'!$E$3:$AG$238,'Průběžky 2021 - rozdělení'!A52,'Data - Průběžky 2021'!$W$3:$W$237)+SUMIF('Data - Průběžky 2021'!$E$3:$AG$238,'Průběžky 2021 - rozdělení'!A52,'Data - Průběžky 2021'!$X$3:$X$237)</f>
        <v>0</v>
      </c>
      <c r="S52" s="95">
        <f ca="1">SUMIF('Data - Průběžky 2021'!$E$3:$AG$238,'Průběžky 2021 - rozdělení'!A52,'Data - Průběžky 2021'!$Z$3:$Z$237)</f>
        <v>106000</v>
      </c>
      <c r="T52" s="95">
        <f ca="1">SUMIF('Data - Průběžky 2021'!$E$3:$AG$238,'Průběžky 2021 - rozdělení'!A52,'Data - Průběžky 2021'!$AB$3:$AB$237)</f>
        <v>0</v>
      </c>
      <c r="U52" s="95">
        <f ca="1">SUMIF('Data - Průběžky 2021'!$E$3:$AG$238,'Průběžky 2021 - rozdělení'!A52,'Data - Průběžky 2021'!$AC$3:$AC$237)</f>
        <v>0</v>
      </c>
      <c r="V52" s="92">
        <f ca="1">SUMIF('Data - Průběžky 2021'!$E$3:$AG$238,'Průběžky 2021 - rozdělení'!A52,'Data - Průběžky 2021'!$AA$3:$AA$237)</f>
        <v>0</v>
      </c>
      <c r="W52" s="92">
        <f ca="1">SUMIF('Data - Průběžky 2021'!$E$3:$AG$238,'Průběžky 2021 - rozdělení'!A52,'Data - Průběžky 2021'!$AD$3:$AD$237)+SUMIF('Data - Průběžky 2021'!$E$3:$AG$238,'Průběžky 2021 - rozdělení'!A52,'Data - Průběžky 2021'!$AE$3:$AE$237)+SUMIF('Data - Průběžky 2021'!$E$3:$AG$238,'Průběžky 2021 - rozdělení'!A52,'Data - Průběžky 2021'!$AF$3:$AF$237)+SUMIF('Data - Průběžky 2021'!$E$3:$AG$238,'Průběžky 2021 - rozdělení'!A52,'Data - Průběžky 2021'!$AG$3:$AG$237)</f>
        <v>229000</v>
      </c>
    </row>
    <row r="53" spans="1:23" x14ac:dyDescent="0.15">
      <c r="B53" s="95"/>
      <c r="E53" s="95"/>
      <c r="F53" s="95"/>
      <c r="G53" s="95"/>
      <c r="H53" s="95"/>
      <c r="J53" s="100">
        <f ca="1">J52/$B$52</f>
        <v>0.79804123423861373</v>
      </c>
      <c r="K53" s="100">
        <f t="shared" ref="K53:W53" ca="1" si="19">K52/$B$52</f>
        <v>0</v>
      </c>
      <c r="L53" s="100">
        <f t="shared" ca="1" si="19"/>
        <v>2.5010658277651081E-2</v>
      </c>
      <c r="M53" s="100">
        <f t="shared" ca="1" si="19"/>
        <v>0</v>
      </c>
      <c r="N53" s="100">
        <f t="shared" ca="1" si="19"/>
        <v>8.0642699173239629E-2</v>
      </c>
      <c r="O53" s="100">
        <f t="shared" ca="1" si="19"/>
        <v>0</v>
      </c>
      <c r="P53" s="100">
        <f t="shared" ca="1" si="19"/>
        <v>0</v>
      </c>
      <c r="Q53" s="100">
        <f t="shared" ca="1" si="19"/>
        <v>0</v>
      </c>
      <c r="R53" s="100">
        <f t="shared" ca="1" si="19"/>
        <v>0</v>
      </c>
      <c r="S53" s="100">
        <f t="shared" ca="1" si="19"/>
        <v>3.0472756062425454E-2</v>
      </c>
      <c r="T53" s="100">
        <f t="shared" ca="1" si="19"/>
        <v>0</v>
      </c>
      <c r="U53" s="100">
        <f t="shared" ca="1" si="19"/>
        <v>0</v>
      </c>
      <c r="V53" s="100">
        <f t="shared" ca="1" si="19"/>
        <v>0</v>
      </c>
      <c r="W53" s="100">
        <f t="shared" ca="1" si="19"/>
        <v>6.5832652248070084E-2</v>
      </c>
    </row>
    <row r="54" spans="1:23" x14ac:dyDescent="0.15">
      <c r="A54" s="153" t="s">
        <v>407</v>
      </c>
      <c r="B54" s="154">
        <f ca="1">SUMIF('Data - Průběžky 2021'!$E$3:$J$238,'Průběžky 2021 - rozdělení'!A54,'Data - Průběžky 2021'!$J$3:$J$238)</f>
        <v>7571000</v>
      </c>
      <c r="C54" s="153"/>
      <c r="D54" s="153">
        <v>8.65</v>
      </c>
      <c r="E54" s="154"/>
      <c r="F54" s="154">
        <f ca="1">B54/D54</f>
        <v>875260.11560693639</v>
      </c>
      <c r="G54" s="154"/>
      <c r="H54" s="154">
        <f ca="1">F54/12</f>
        <v>72938.342967244695</v>
      </c>
      <c r="I54" s="153"/>
      <c r="J54" s="154">
        <f ca="1">SUMIF('Data - Průběžky 2021'!$E$3:$AG$238,'Průběžky 2021 - rozdělení'!A54,'Data - Průběžky 2021'!$L$3:$L$237)</f>
        <v>3702000</v>
      </c>
      <c r="K54" s="154">
        <v>0</v>
      </c>
      <c r="L54" s="154">
        <f ca="1">SUMIF('Data - Průběžky 2021'!$E$3:$N$238,'Průběžky 2021 - rozdělení'!A54,'Data - Průběžky 2021'!$N$3:$N$238)</f>
        <v>1375000</v>
      </c>
      <c r="M54" s="154">
        <f ca="1">SUMIF('Data - Průběžky 2021'!$E$3:$R$238,'Průběžky 2021 - rozdělení'!A54,'Data - Průběžky 2021'!$O$3:$O$238)+SUMIF('Data - Průběžky 2021'!$E$3:$R$238,'Průběžky 2021 - rozdělení'!A54,'Data - Průběžky 2021'!$P$3:$P$238)+SUMIF('Data - Průběžky 2021'!$E$3:$R$238,'Průběžky 2021 - rozdělení'!A54,'Data - Průběžky 2021'!$Q$3:$Q$238)+SUMIF('Data - Průběžky 2021'!$E$3:$R$238,'Průběžky 2021 - rozdělení'!A54,'Data - Průběžky 2021'!$R$3:$R$238)</f>
        <v>0</v>
      </c>
      <c r="N54" s="154">
        <f ca="1">SUMIF('Data - Průběžky 2021'!$E$3:$AG$238,'Průběžky 2021 - rozdělení'!A54,'Data - Průběžky 2021'!$S$3:$S$237)</f>
        <v>300000</v>
      </c>
      <c r="O54" s="154">
        <f ca="1">SUMIF('Data - Průběžky 2021'!$E$3:$AG$238,'Průběžky 2021 - rozdělení'!A54,'Data - Průběžky 2021'!$T$3:$T$237)</f>
        <v>0</v>
      </c>
      <c r="P54" s="154">
        <f ca="1">SUMIF('Data - Průběžky 2021'!$E$3:$AG$238,'Průběžky 2021 - rozdělení'!A54,'Data - Průběžky 2021'!$U$3:$U$237)</f>
        <v>0</v>
      </c>
      <c r="Q54" s="154">
        <f ca="1">SUMIF('Data - Průběžky 2021'!$E$3:$AG$238,'Průběžky 2021 - rozdělení'!A54,'Data - Průběžky 2021'!$V$3:$V$237)</f>
        <v>0</v>
      </c>
      <c r="R54" s="154">
        <f ca="1">SUMIF('Data - Průběžky 2021'!$E$3:$AG$238,'Průběžky 2021 - rozdělení'!A54,'Data - Průběžky 2021'!$W$3:$W$237)+SUMIF('Data - Průběžky 2021'!$E$3:$AG$238,'Průběžky 2021 - rozdělení'!A54,'Data - Průběžky 2021'!$X$3:$X$237)</f>
        <v>2194000</v>
      </c>
      <c r="S54" s="154">
        <f ca="1">SUMIF('Data - Průběžky 2021'!$E$3:$AG$238,'Průběžky 2021 - rozdělení'!A54,'Data - Průběžky 2021'!$Z$3:$Z$237)</f>
        <v>0</v>
      </c>
      <c r="T54" s="154">
        <f ca="1">SUMIF('Data - Průběžky 2021'!$E$3:$AG$238,'Průběžky 2021 - rozdělení'!A54,'Data - Průběžky 2021'!$AB$3:$AB$237)</f>
        <v>0</v>
      </c>
      <c r="U54" s="154">
        <f ca="1">SUMIF('Data - Průběžky 2021'!$E$3:$AG$238,'Průběžky 2021 - rozdělení'!A54,'Data - Průběžky 2021'!$AC$3:$AC$237)</f>
        <v>0</v>
      </c>
      <c r="V54" s="153">
        <f ca="1">SUMIF('Data - Průběžky 2021'!$E$3:$AG$238,'Průběžky 2021 - rozdělení'!A54,'Data - Průběžky 2021'!$AA$3:$AA$237)</f>
        <v>0</v>
      </c>
      <c r="W54" s="153">
        <f ca="1">SUMIF('Data - Průběžky 2021'!$E$3:$AG$238,'Průběžky 2021 - rozdělení'!A54,'Data - Průběžky 2021'!$AD$3:$AD$237)+SUMIF('Data - Průběžky 2021'!$E$3:$AG$238,'Průběžky 2021 - rozdělení'!A54,'Data - Průběžky 2021'!$AE$3:$AE$237)+SUMIF('Data - Průběžky 2021'!$E$3:$AG$238,'Průběžky 2021 - rozdělení'!A54,'Data - Průběžky 2021'!$AF$3:$AF$237)+SUMIF('Data - Průběžky 2021'!$E$3:$AG$238,'Průběžky 2021 - rozdělení'!A54,'Data - Průběžky 2021'!$AG$3:$AG$237)</f>
        <v>0</v>
      </c>
    </row>
    <row r="55" spans="1:23" x14ac:dyDescent="0.15">
      <c r="A55" s="153"/>
      <c r="B55" s="154"/>
      <c r="C55" s="153"/>
      <c r="D55" s="153"/>
      <c r="E55" s="154"/>
      <c r="F55" s="154"/>
      <c r="G55" s="154"/>
      <c r="H55" s="154"/>
      <c r="I55" s="153"/>
      <c r="J55" s="155">
        <f ca="1">J54/$B$54</f>
        <v>0.488971073834368</v>
      </c>
      <c r="K55" s="155">
        <f t="shared" ref="K55:W55" ca="1" si="20">K54/$B$54</f>
        <v>0</v>
      </c>
      <c r="L55" s="155">
        <f t="shared" ca="1" si="20"/>
        <v>0.18161405362567692</v>
      </c>
      <c r="M55" s="155">
        <f t="shared" ca="1" si="20"/>
        <v>0</v>
      </c>
      <c r="N55" s="155">
        <f t="shared" ca="1" si="20"/>
        <v>3.9624884427420418E-2</v>
      </c>
      <c r="O55" s="155">
        <f t="shared" ca="1" si="20"/>
        <v>0</v>
      </c>
      <c r="P55" s="155">
        <f t="shared" ca="1" si="20"/>
        <v>0</v>
      </c>
      <c r="Q55" s="155">
        <f t="shared" ca="1" si="20"/>
        <v>0</v>
      </c>
      <c r="R55" s="155">
        <f t="shared" ca="1" si="20"/>
        <v>0.28978998811253465</v>
      </c>
      <c r="S55" s="155">
        <f t="shared" ca="1" si="20"/>
        <v>0</v>
      </c>
      <c r="T55" s="155">
        <f t="shared" ca="1" si="20"/>
        <v>0</v>
      </c>
      <c r="U55" s="155">
        <f t="shared" ca="1" si="20"/>
        <v>0</v>
      </c>
      <c r="V55" s="155">
        <f t="shared" ca="1" si="20"/>
        <v>0</v>
      </c>
      <c r="W55" s="155">
        <f t="shared" ca="1" si="20"/>
        <v>0</v>
      </c>
    </row>
    <row r="56" spans="1:23" x14ac:dyDescent="0.15">
      <c r="A56" s="92" t="s">
        <v>305</v>
      </c>
      <c r="B56" s="95">
        <f ca="1">SUMIF('Data - Průběžky 2021'!$E$3:$J$238,'Průběžky 2021 - rozdělení'!A56,'Data - Průběžky 2021'!$J$3:$J$238)</f>
        <v>2516553</v>
      </c>
      <c r="D56" s="92">
        <v>2.2000000000000002</v>
      </c>
      <c r="E56" s="95"/>
      <c r="F56" s="95">
        <f ca="1">B56/D56</f>
        <v>1143887.7272727273</v>
      </c>
      <c r="G56" s="95"/>
      <c r="H56" s="95">
        <f ca="1">F56/12</f>
        <v>95323.977272727279</v>
      </c>
      <c r="J56" s="95">
        <f ca="1">SUMIF('Data - Průběžky 2021'!$E$3:$AG$238,'Průběžky 2021 - rozdělení'!A56,'Data - Průběžky 2021'!$L$3:$L$237)</f>
        <v>1568000</v>
      </c>
      <c r="K56" s="95">
        <v>878553</v>
      </c>
      <c r="L56" s="95">
        <f ca="1">SUMIF('Data - Průběžky 2021'!$E$3:$N$238,'Průběžky 2021 - rozdělení'!A56,'Data - Průběžky 2021'!$N$3:$N$238)</f>
        <v>0</v>
      </c>
      <c r="M56" s="95">
        <f ca="1">SUMIF('Data - Průběžky 2021'!$E$3:$R$238,'Průběžky 2021 - rozdělení'!A56,'Data - Průběžky 2021'!$O$3:$O$238)+SUMIF('Data - Průběžky 2021'!$E$3:$R$238,'Průběžky 2021 - rozdělení'!A56,'Data - Průběžky 2021'!$P$3:$P$238)+SUMIF('Data - Průběžky 2021'!$E$3:$R$238,'Průběžky 2021 - rozdělení'!A56,'Data - Průběžky 2021'!$Q$3:$Q$238)+SUMIF('Data - Průběžky 2021'!$E$3:$R$238,'Průběžky 2021 - rozdělení'!A56,'Data - Průběžky 2021'!$R$3:$R$238)</f>
        <v>0</v>
      </c>
      <c r="N56" s="95">
        <f ca="1">SUMIF('Data - Průběžky 2021'!$E$3:$AG$238,'Průběžky 2021 - rozdělení'!A56,'Data - Průběžky 2021'!$S$3:$S$237)</f>
        <v>0</v>
      </c>
      <c r="O56" s="95">
        <f ca="1">SUMIF('Data - Průběžky 2021'!$E$3:$AG$238,'Průběžky 2021 - rozdělení'!A56,'Data - Průběžky 2021'!$T$3:$T$237)</f>
        <v>0</v>
      </c>
      <c r="P56" s="95">
        <f ca="1">SUMIF('Data - Průběžky 2021'!$E$3:$AG$238,'Průběžky 2021 - rozdělení'!A56,'Data - Průběžky 2021'!$U$3:$U$237)</f>
        <v>0</v>
      </c>
      <c r="Q56" s="95">
        <f ca="1">SUMIF('Data - Průběžky 2021'!$E$3:$AG$238,'Průběžky 2021 - rozdělení'!A56,'Data - Průběžky 2021'!$V$3:$V$237)</f>
        <v>0</v>
      </c>
      <c r="R56" s="95">
        <f ca="1">SUMIF('Data - Průběžky 2021'!$E$3:$AG$238,'Průběžky 2021 - rozdělení'!A56,'Data - Průběžky 2021'!$W$3:$W$237)+SUMIF('Data - Průběžky 2021'!$E$3:$AG$238,'Průběžky 2021 - rozdělení'!A56,'Data - Průběžky 2021'!$X$3:$X$237)</f>
        <v>0</v>
      </c>
      <c r="S56" s="95">
        <f ca="1">SUMIF('Data - Průběžky 2021'!$E$3:$AG$238,'Průběžky 2021 - rozdělení'!A56,'Data - Průběžky 2021'!$Z$3:$Z$237)</f>
        <v>0</v>
      </c>
      <c r="T56" s="95">
        <f ca="1">SUMIF('Data - Průběžky 2021'!$E$3:$AG$238,'Průběžky 2021 - rozdělení'!A56,'Data - Průběžky 2021'!$AB$3:$AB$237)</f>
        <v>0</v>
      </c>
      <c r="U56" s="95">
        <f ca="1">SUMIF('Data - Průběžky 2021'!$E$3:$AG$238,'Průběžky 2021 - rozdělení'!A56,'Data - Průběžky 2021'!$AC$3:$AC$237)</f>
        <v>0</v>
      </c>
      <c r="V56" s="92">
        <f ca="1">SUMIF('Data - Průběžky 2021'!$E$3:$AG$238,'Průběžky 2021 - rozdělení'!A56,'Data - Průběžky 2021'!$AA$3:$AA$237)</f>
        <v>0</v>
      </c>
      <c r="W56" s="92">
        <f ca="1">SUMIF('Data - Průběžky 2021'!$E$3:$AG$238,'Průběžky 2021 - rozdělení'!A56,'Data - Průběžky 2021'!$AD$3:$AD$237)+SUMIF('Data - Průběžky 2021'!$E$3:$AG$238,'Průběžky 2021 - rozdělení'!A56,'Data - Průběžky 2021'!$AE$3:$AE$237)+SUMIF('Data - Průběžky 2021'!$E$3:$AG$238,'Průběžky 2021 - rozdělení'!A56,'Data - Průběžky 2021'!$AF$3:$AF$237)+SUMIF('Data - Průběžky 2021'!$E$3:$AG$238,'Průběžky 2021 - rozdělení'!A56,'Data - Průběžky 2021'!$AG$3:$AG$237)</f>
        <v>70000</v>
      </c>
    </row>
    <row r="57" spans="1:23" x14ac:dyDescent="0.15">
      <c r="B57" s="95"/>
      <c r="E57" s="95"/>
      <c r="F57" s="95"/>
      <c r="G57" s="95"/>
      <c r="H57" s="95"/>
      <c r="J57" s="100">
        <f ca="1">J56/$B$56</f>
        <v>0.62307449912638435</v>
      </c>
      <c r="K57" s="100">
        <f t="shared" ref="K57:W57" ca="1" si="21">K56/$B$56</f>
        <v>0.34910967501975915</v>
      </c>
      <c r="L57" s="100">
        <f t="shared" ca="1" si="21"/>
        <v>0</v>
      </c>
      <c r="M57" s="100">
        <f t="shared" ca="1" si="21"/>
        <v>0</v>
      </c>
      <c r="N57" s="100">
        <f t="shared" ca="1" si="21"/>
        <v>0</v>
      </c>
      <c r="O57" s="100">
        <f t="shared" ca="1" si="21"/>
        <v>0</v>
      </c>
      <c r="P57" s="100">
        <f t="shared" ca="1" si="21"/>
        <v>0</v>
      </c>
      <c r="Q57" s="100">
        <f t="shared" ca="1" si="21"/>
        <v>0</v>
      </c>
      <c r="R57" s="100">
        <f t="shared" ca="1" si="21"/>
        <v>0</v>
      </c>
      <c r="S57" s="100">
        <f t="shared" ca="1" si="21"/>
        <v>0</v>
      </c>
      <c r="T57" s="100">
        <f t="shared" ca="1" si="21"/>
        <v>0</v>
      </c>
      <c r="U57" s="100">
        <f t="shared" ca="1" si="21"/>
        <v>0</v>
      </c>
      <c r="V57" s="100">
        <f t="shared" ca="1" si="21"/>
        <v>0</v>
      </c>
      <c r="W57" s="100">
        <f t="shared" ca="1" si="21"/>
        <v>2.7815825853856446E-2</v>
      </c>
    </row>
    <row r="58" spans="1:23" x14ac:dyDescent="0.15">
      <c r="A58" s="153" t="s">
        <v>409</v>
      </c>
      <c r="B58" s="154">
        <f ca="1">SUMIF('Data - Průběžky 2021'!$E$3:$J$238,'Průběžky 2021 - rozdělení'!A58,'Data - Průběžky 2021'!$J$3:$J$238)</f>
        <v>4358232.13</v>
      </c>
      <c r="C58" s="153"/>
      <c r="D58" s="153">
        <v>6.15</v>
      </c>
      <c r="E58" s="154"/>
      <c r="F58" s="154">
        <f ca="1">B58/D58</f>
        <v>708655.63089430891</v>
      </c>
      <c r="G58" s="154"/>
      <c r="H58" s="154">
        <f ca="1">F58/12</f>
        <v>59054.635907859076</v>
      </c>
      <c r="I58" s="153"/>
      <c r="J58" s="154">
        <f ca="1">SUMIF('Data - Průběžky 2021'!$E$3:$AG$238,'Průběžky 2021 - rozdělení'!A58,'Data - Průběžky 2021'!$L$3:$L$237)</f>
        <v>3476000</v>
      </c>
      <c r="K58" s="154">
        <v>0</v>
      </c>
      <c r="L58" s="154">
        <f ca="1">SUMIF('Data - Průběžky 2021'!$E$3:$N$238,'Průběžky 2021 - rozdělení'!A58,'Data - Průběžky 2021'!$N$3:$N$238)</f>
        <v>132000</v>
      </c>
      <c r="M58" s="154">
        <f ca="1">SUMIF('Data - Průběžky 2021'!$E$3:$R$238,'Průběžky 2021 - rozdělení'!A58,'Data - Průběžky 2021'!$O$3:$O$238)+SUMIF('Data - Průběžky 2021'!$E$3:$R$238,'Průběžky 2021 - rozdělení'!A58,'Data - Průběžky 2021'!$P$3:$P$238)+SUMIF('Data - Průběžky 2021'!$E$3:$R$238,'Průběžky 2021 - rozdělení'!A58,'Data - Průběžky 2021'!$Q$3:$Q$238)+SUMIF('Data - Průběžky 2021'!$E$3:$R$238,'Průběžky 2021 - rozdělení'!A58,'Data - Průběžky 2021'!$R$3:$R$238)</f>
        <v>0</v>
      </c>
      <c r="N58" s="154">
        <f ca="1">SUMIF('Data - Průběžky 2021'!$E$3:$AG$238,'Průběžky 2021 - rozdělení'!A58,'Data - Průběžky 2021'!$S$3:$S$237)</f>
        <v>400000</v>
      </c>
      <c r="O58" s="154">
        <f ca="1">SUMIF('Data - Průběžky 2021'!$E$3:$AG$238,'Průběžky 2021 - rozdělení'!A58,'Data - Průběžky 2021'!$T$3:$T$237)</f>
        <v>0</v>
      </c>
      <c r="P58" s="154">
        <f ca="1">SUMIF('Data - Průběžky 2021'!$E$3:$AG$238,'Průběžky 2021 - rozdělení'!A58,'Data - Průběžky 2021'!$U$3:$U$237)</f>
        <v>0</v>
      </c>
      <c r="Q58" s="154">
        <f ca="1">SUMIF('Data - Průběžky 2021'!$E$3:$AG$238,'Průběžky 2021 - rozdělení'!A58,'Data - Průběžky 2021'!$V$3:$V$237)</f>
        <v>0</v>
      </c>
      <c r="R58" s="154">
        <f ca="1">SUMIF('Data - Průběžky 2021'!$E$3:$AG$238,'Průběžky 2021 - rozdělení'!A58,'Data - Průběžky 2021'!$W$3:$W$237)+SUMIF('Data - Průběžky 2021'!$E$3:$AG$238,'Průběžky 2021 - rozdělení'!A58,'Data - Průběžky 2021'!$X$3:$X$237)</f>
        <v>0</v>
      </c>
      <c r="S58" s="154">
        <f ca="1">SUMIF('Data - Průběžky 2021'!$E$3:$AG$238,'Průběžky 2021 - rozdělení'!A58,'Data - Průběžky 2021'!$Z$3:$Z$237)</f>
        <v>0</v>
      </c>
      <c r="T58" s="154">
        <f ca="1">SUMIF('Data - Průběžky 2021'!$E$3:$AG$238,'Průběžky 2021 - rozdělení'!A58,'Data - Průběžky 2021'!$AB$3:$AB$237)</f>
        <v>0</v>
      </c>
      <c r="U58" s="154">
        <f ca="1">SUMIF('Data - Průběžky 2021'!$E$3:$AG$238,'Průběžky 2021 - rozdělení'!A58,'Data - Průběžky 2021'!$AC$3:$AC$237)</f>
        <v>0</v>
      </c>
      <c r="V58" s="153">
        <f ca="1">SUMIF('Data - Průběžky 2021'!$E$3:$AG$238,'Průběžky 2021 - rozdělení'!A58,'Data - Průběžky 2021'!$AA$3:$AA$237)</f>
        <v>0</v>
      </c>
      <c r="W58" s="153">
        <f ca="1">SUMIF('Data - Průběžky 2021'!$E$3:$AG$238,'Průběžky 2021 - rozdělení'!A58,'Data - Průběžky 2021'!$AD$3:$AD$237)+SUMIF('Data - Průběžky 2021'!$E$3:$AG$238,'Průběžky 2021 - rozdělení'!A58,'Data - Průběžky 2021'!$AE$3:$AE$237)+SUMIF('Data - Průběžky 2021'!$E$3:$AG$238,'Průběžky 2021 - rozdělení'!A58,'Data - Průběžky 2021'!$AF$3:$AF$237)+SUMIF('Data - Průběžky 2021'!$E$3:$AG$238,'Průběžky 2021 - rozdělení'!A58,'Data - Průběžky 2021'!$AG$3:$AG$237)</f>
        <v>350232.13</v>
      </c>
    </row>
    <row r="59" spans="1:23" x14ac:dyDescent="0.15">
      <c r="A59" s="153"/>
      <c r="B59" s="154"/>
      <c r="C59" s="153"/>
      <c r="D59" s="153"/>
      <c r="E59" s="154"/>
      <c r="F59" s="154"/>
      <c r="G59" s="154"/>
      <c r="H59" s="154"/>
      <c r="I59" s="153"/>
      <c r="J59" s="155">
        <f ca="1">J58/$B$58</f>
        <v>0.79757110138142184</v>
      </c>
      <c r="K59" s="155">
        <f t="shared" ref="K59:W59" ca="1" si="22">K58/$B$58</f>
        <v>0</v>
      </c>
      <c r="L59" s="155">
        <f t="shared" ca="1" si="22"/>
        <v>3.0287510179041337E-2</v>
      </c>
      <c r="M59" s="155">
        <f t="shared" ca="1" si="22"/>
        <v>0</v>
      </c>
      <c r="N59" s="155">
        <f t="shared" ca="1" si="22"/>
        <v>9.178033387588283E-2</v>
      </c>
      <c r="O59" s="155">
        <f t="shared" ca="1" si="22"/>
        <v>0</v>
      </c>
      <c r="P59" s="155">
        <f t="shared" ca="1" si="22"/>
        <v>0</v>
      </c>
      <c r="Q59" s="155">
        <f t="shared" ca="1" si="22"/>
        <v>0</v>
      </c>
      <c r="R59" s="155">
        <f t="shared" ca="1" si="22"/>
        <v>0</v>
      </c>
      <c r="S59" s="155">
        <f t="shared" ca="1" si="22"/>
        <v>0</v>
      </c>
      <c r="T59" s="155">
        <f t="shared" ca="1" si="22"/>
        <v>0</v>
      </c>
      <c r="U59" s="155">
        <f t="shared" ca="1" si="22"/>
        <v>0</v>
      </c>
      <c r="V59" s="155">
        <f t="shared" ca="1" si="22"/>
        <v>0</v>
      </c>
      <c r="W59" s="155">
        <f t="shared" ca="1" si="22"/>
        <v>8.0361054563654E-2</v>
      </c>
    </row>
    <row r="60" spans="1:23" x14ac:dyDescent="0.15">
      <c r="A60" s="92" t="s">
        <v>330</v>
      </c>
      <c r="B60" s="95">
        <f ca="1">SUMIF('Data - Průběžky 2021'!$E$3:$J$238,'Průběžky 2021 - rozdělení'!A60,'Data - Průběžky 2021'!$J$3:$J$238)</f>
        <v>20255390.5</v>
      </c>
      <c r="D60" s="92">
        <v>39</v>
      </c>
      <c r="E60" s="95"/>
      <c r="F60" s="95">
        <f ca="1">B60/D60</f>
        <v>519368.98717948719</v>
      </c>
      <c r="G60" s="95"/>
      <c r="H60" s="95">
        <f ca="1">F60/12</f>
        <v>43280.74893162393</v>
      </c>
      <c r="J60" s="95">
        <f ca="1">SUMIF('Data - Průběžky 2021'!$E$3:$AG$238,'Průběžky 2021 - rozdělení'!A60,'Data - Průběžky 2021'!$L$3:$L$237)</f>
        <v>16440000</v>
      </c>
      <c r="K60" s="95">
        <v>0</v>
      </c>
      <c r="L60" s="95">
        <f ca="1">SUMIF('Data - Průběžky 2021'!$E$3:$N$238,'Průběžky 2021 - rozdělení'!A60,'Data - Průběžky 2021'!$N$3:$N$238)</f>
        <v>715000</v>
      </c>
      <c r="M60" s="95">
        <f ca="1">SUMIF('Data - Průběžky 2021'!$E$3:$R$238,'Průběžky 2021 - rozdělení'!A60,'Data - Průběžky 2021'!$O$3:$O$238)+SUMIF('Data - Průběžky 2021'!$E$3:$R$238,'Průběžky 2021 - rozdělení'!A60,'Data - Průběžky 2021'!$P$3:$P$238)+SUMIF('Data - Průběžky 2021'!$E$3:$R$238,'Průběžky 2021 - rozdělení'!A60,'Data - Průběžky 2021'!$Q$3:$Q$238)+SUMIF('Data - Průběžky 2021'!$E$3:$R$238,'Průběžky 2021 - rozdělení'!A60,'Data - Průběžky 2021'!$R$3:$R$238)</f>
        <v>0</v>
      </c>
      <c r="N60" s="95">
        <f ca="1">SUMIF('Data - Průběžky 2021'!$E$3:$AG$238,'Průběžky 2021 - rozdělení'!A60,'Data - Průběžky 2021'!$S$3:$S$237)</f>
        <v>1894534</v>
      </c>
      <c r="O60" s="95">
        <f ca="1">SUMIF('Data - Průběžky 2021'!$E$3:$AG$238,'Průběžky 2021 - rozdělení'!A60,'Data - Průběžky 2021'!$T$3:$T$237)</f>
        <v>0</v>
      </c>
      <c r="P60" s="95">
        <f ca="1">SUMIF('Data - Průběžky 2021'!$E$3:$AG$238,'Průběžky 2021 - rozdělení'!A60,'Data - Průběžky 2021'!$U$3:$U$237)</f>
        <v>0</v>
      </c>
      <c r="Q60" s="95">
        <f ca="1">SUMIF('Data - Průběžky 2021'!$E$3:$AG$238,'Průběžky 2021 - rozdělení'!A60,'Data - Průběžky 2021'!$V$3:$V$237)</f>
        <v>0</v>
      </c>
      <c r="R60" s="95">
        <f ca="1">SUMIF('Data - Průběžky 2021'!$E$3:$AG$238,'Průběžky 2021 - rozdělení'!A60,'Data - Průběžky 2021'!$W$3:$W$237)+SUMIF('Data - Průběžky 2021'!$E$3:$AG$238,'Průběžky 2021 - rozdělení'!A60,'Data - Průběžky 2021'!$X$3:$X$237)</f>
        <v>807545</v>
      </c>
      <c r="S60" s="95">
        <f ca="1">SUMIF('Data - Průběžky 2021'!$E$3:$AG$238,'Průběžky 2021 - rozdělení'!A60,'Data - Průběžky 2021'!$Z$3:$Z$237)</f>
        <v>0</v>
      </c>
      <c r="T60" s="95">
        <f ca="1">SUMIF('Data - Průběžky 2021'!$E$3:$AG$238,'Průběžky 2021 - rozdělení'!A60,'Data - Průběžky 2021'!$AB$3:$AB$237)</f>
        <v>0</v>
      </c>
      <c r="U60" s="95">
        <f ca="1">SUMIF('Data - Průběžky 2021'!$E$3:$AG$238,'Průběžky 2021 - rozdělení'!A60,'Data - Průběžky 2021'!$AC$3:$AC$237)</f>
        <v>0</v>
      </c>
      <c r="V60" s="92">
        <f ca="1">SUMIF('Data - Průběžky 2021'!$E$3:$AG$238,'Průběžky 2021 - rozdělení'!A60,'Data - Průběžky 2021'!$AA$3:$AA$237)</f>
        <v>272327.5</v>
      </c>
      <c r="W60" s="92">
        <f ca="1">SUMIF('Data - Průběžky 2021'!$E$3:$AG$238,'Průběžky 2021 - rozdělení'!A60,'Data - Průběžky 2021'!$AD$3:$AD$237)+SUMIF('Data - Průběžky 2021'!$E$3:$AG$238,'Průběžky 2021 - rozdělení'!A60,'Data - Průběžky 2021'!$AE$3:$AE$237)+SUMIF('Data - Průběžky 2021'!$E$3:$AG$238,'Průběžky 2021 - rozdělení'!A60,'Data - Průběžky 2021'!$AF$3:$AF$237)+SUMIF('Data - Průběžky 2021'!$E$3:$AG$238,'Průběžky 2021 - rozdělení'!A60,'Data - Průběžky 2021'!$AG$3:$AG$237)</f>
        <v>125984</v>
      </c>
    </row>
    <row r="61" spans="1:23" x14ac:dyDescent="0.15">
      <c r="B61" s="95"/>
      <c r="E61" s="95"/>
      <c r="F61" s="95"/>
      <c r="G61" s="95"/>
      <c r="H61" s="95"/>
      <c r="J61" s="100">
        <f ca="1">J60/$B$60</f>
        <v>0.81163579640688732</v>
      </c>
      <c r="K61" s="100">
        <f t="shared" ref="K61:W61" ca="1" si="23">K60/$B$60</f>
        <v>0</v>
      </c>
      <c r="L61" s="100">
        <f t="shared" ca="1" si="23"/>
        <v>3.5299245403340902E-2</v>
      </c>
      <c r="M61" s="100">
        <f t="shared" ca="1" si="23"/>
        <v>0</v>
      </c>
      <c r="N61" s="100">
        <f t="shared" ca="1" si="23"/>
        <v>9.3532336490871407E-2</v>
      </c>
      <c r="O61" s="100">
        <f t="shared" ca="1" si="23"/>
        <v>0</v>
      </c>
      <c r="P61" s="100">
        <f t="shared" ca="1" si="23"/>
        <v>0</v>
      </c>
      <c r="Q61" s="100">
        <f t="shared" ca="1" si="23"/>
        <v>0</v>
      </c>
      <c r="R61" s="100">
        <f t="shared" ca="1" si="23"/>
        <v>3.9868152628308992E-2</v>
      </c>
      <c r="S61" s="100">
        <f t="shared" ca="1" si="23"/>
        <v>0</v>
      </c>
      <c r="T61" s="100">
        <f t="shared" ca="1" si="23"/>
        <v>0</v>
      </c>
      <c r="U61" s="100">
        <f t="shared" ca="1" si="23"/>
        <v>0</v>
      </c>
      <c r="V61" s="100">
        <f t="shared" ca="1" si="23"/>
        <v>1.34446926609487E-2</v>
      </c>
      <c r="W61" s="100">
        <f t="shared" ca="1" si="23"/>
        <v>6.2197764096426581E-3</v>
      </c>
    </row>
    <row r="62" spans="1:23" x14ac:dyDescent="0.15">
      <c r="A62" s="153" t="s">
        <v>410</v>
      </c>
      <c r="B62" s="154">
        <f ca="1">SUMIF('Data - Průběžky 2021'!$E$3:$J$238,'Průběžky 2021 - rozdělení'!A62,'Data - Průběžky 2021'!$J$3:$J$238)</f>
        <v>3172795.62</v>
      </c>
      <c r="C62" s="153">
        <v>57</v>
      </c>
      <c r="D62" s="153">
        <v>4.4000000000000004</v>
      </c>
      <c r="E62" s="154"/>
      <c r="F62" s="154">
        <f ca="1">B62/D62</f>
        <v>721089.91363636358</v>
      </c>
      <c r="G62" s="154"/>
      <c r="H62" s="154">
        <f ca="1">F62/12</f>
        <v>60090.826136363634</v>
      </c>
      <c r="I62" s="153"/>
      <c r="J62" s="154">
        <f ca="1">SUMIF('Data - Průběžky 2021'!$E$3:$AG$238,'Průběžky 2021 - rozdělení'!A62,'Data - Průběžky 2021'!$L$3:$L$237)</f>
        <v>2507000</v>
      </c>
      <c r="K62" s="154">
        <v>0</v>
      </c>
      <c r="L62" s="154">
        <f ca="1">SUMIF('Data - Průběžky 2021'!$E$3:$N$238,'Průběžky 2021 - rozdělení'!A62,'Data - Průběžky 2021'!$N$3:$N$238)</f>
        <v>94000</v>
      </c>
      <c r="M62" s="154">
        <f ca="1">SUMIF('Data - Průběžky 2021'!$E$3:$R$238,'Průběžky 2021 - rozdělení'!A62,'Data - Průběžky 2021'!$O$3:$O$238)+SUMIF('Data - Průběžky 2021'!$E$3:$R$238,'Průběžky 2021 - rozdělení'!A62,'Data - Průběžky 2021'!$P$3:$P$238)+SUMIF('Data - Průběžky 2021'!$E$3:$R$238,'Průběžky 2021 - rozdělení'!A62,'Data - Průběžky 2021'!$Q$3:$Q$238)+SUMIF('Data - Průběžky 2021'!$E$3:$R$238,'Průběžky 2021 - rozdělení'!A62,'Data - Průběžky 2021'!$R$3:$R$238)</f>
        <v>0</v>
      </c>
      <c r="N62" s="154">
        <f ca="1">SUMIF('Data - Průběžky 2021'!$E$3:$AG$238,'Průběžky 2021 - rozdělení'!A62,'Data - Průběžky 2021'!$S$3:$S$237)</f>
        <v>265000</v>
      </c>
      <c r="O62" s="154">
        <f ca="1">SUMIF('Data - Průběžky 2021'!$E$3:$AG$238,'Průběžky 2021 - rozdělení'!A62,'Data - Průběžky 2021'!$T$3:$T$237)</f>
        <v>0</v>
      </c>
      <c r="P62" s="154">
        <f ca="1">SUMIF('Data - Průběžky 2021'!$E$3:$AG$238,'Průběžky 2021 - rozdělení'!A62,'Data - Průběžky 2021'!$U$3:$U$237)</f>
        <v>0</v>
      </c>
      <c r="Q62" s="154">
        <f ca="1">SUMIF('Data - Průběžky 2021'!$E$3:$AG$238,'Průběžky 2021 - rozdělení'!A62,'Data - Průběžky 2021'!$V$3:$V$237)</f>
        <v>0</v>
      </c>
      <c r="R62" s="154">
        <f ca="1">SUMIF('Data - Průběžky 2021'!$E$3:$AG$238,'Průběžky 2021 - rozdělení'!A62,'Data - Průběžky 2021'!$W$3:$W$237)+SUMIF('Data - Průběžky 2021'!$E$3:$AG$238,'Průběžky 2021 - rozdělení'!A62,'Data - Průběžky 2021'!$X$3:$X$237)</f>
        <v>0</v>
      </c>
      <c r="S62" s="154">
        <f ca="1">SUMIF('Data - Průběžky 2021'!$E$3:$AG$238,'Průběžky 2021 - rozdělení'!A62,'Data - Průběžky 2021'!$Z$3:$Z$237)</f>
        <v>277650</v>
      </c>
      <c r="T62" s="154">
        <f ca="1">SUMIF('Data - Průběžky 2021'!$E$3:$AG$238,'Průběžky 2021 - rozdělení'!A62,'Data - Průběžky 2021'!$AB$3:$AB$237)</f>
        <v>0</v>
      </c>
      <c r="U62" s="154">
        <f ca="1">SUMIF('Data - Průběžky 2021'!$E$3:$AG$238,'Průběžky 2021 - rozdělení'!A62,'Data - Průběžky 2021'!$AC$3:$AC$237)</f>
        <v>0</v>
      </c>
      <c r="V62" s="153">
        <f ca="1">SUMIF('Data - Průběžky 2021'!$E$3:$AG$238,'Průběžky 2021 - rozdělení'!A62,'Data - Průběžky 2021'!$AA$3:$AA$237)</f>
        <v>0</v>
      </c>
      <c r="W62" s="153">
        <f ca="1">SUMIF('Data - Průběžky 2021'!$E$3:$AG$238,'Průběžky 2021 - rozdělení'!A62,'Data - Průběžky 2021'!$AD$3:$AD$237)+SUMIF('Data - Průběžky 2021'!$E$3:$AG$238,'Průběžky 2021 - rozdělení'!A62,'Data - Průběžky 2021'!$AE$3:$AE$237)+SUMIF('Data - Průběžky 2021'!$E$3:$AG$238,'Průběžky 2021 - rozdělení'!A62,'Data - Průběžky 2021'!$AF$3:$AF$237)+SUMIF('Data - Průběžky 2021'!$E$3:$AG$238,'Průběžky 2021 - rozdělení'!A62,'Data - Průběžky 2021'!$AG$3:$AG$237)</f>
        <v>29145.62</v>
      </c>
    </row>
    <row r="63" spans="1:23" x14ac:dyDescent="0.15">
      <c r="A63" s="153"/>
      <c r="B63" s="154"/>
      <c r="C63" s="153"/>
      <c r="D63" s="153"/>
      <c r="E63" s="154"/>
      <c r="F63" s="154"/>
      <c r="G63" s="154"/>
      <c r="H63" s="154"/>
      <c r="I63" s="153"/>
      <c r="J63" s="155">
        <f ca="1">J62/$B$62</f>
        <v>0.79015489815886719</v>
      </c>
      <c r="K63" s="155">
        <f t="shared" ref="K63:W63" ca="1" si="24">K62/$B$62</f>
        <v>0</v>
      </c>
      <c r="L63" s="155">
        <f t="shared" ca="1" si="24"/>
        <v>2.9626868937747713E-2</v>
      </c>
      <c r="M63" s="155">
        <f t="shared" ca="1" si="24"/>
        <v>0</v>
      </c>
      <c r="N63" s="155">
        <f t="shared" ca="1" si="24"/>
        <v>8.3522556047905788E-2</v>
      </c>
      <c r="O63" s="155">
        <f t="shared" ca="1" si="24"/>
        <v>0</v>
      </c>
      <c r="P63" s="155">
        <f t="shared" ca="1" si="24"/>
        <v>0</v>
      </c>
      <c r="Q63" s="155">
        <f t="shared" ca="1" si="24"/>
        <v>0</v>
      </c>
      <c r="R63" s="155">
        <f t="shared" ca="1" si="24"/>
        <v>0</v>
      </c>
      <c r="S63" s="155">
        <f t="shared" ca="1" si="24"/>
        <v>8.7509576176230341E-2</v>
      </c>
      <c r="T63" s="155">
        <f t="shared" ca="1" si="24"/>
        <v>0</v>
      </c>
      <c r="U63" s="155">
        <f t="shared" ca="1" si="24"/>
        <v>0</v>
      </c>
      <c r="V63" s="155">
        <f t="shared" ca="1" si="24"/>
        <v>0</v>
      </c>
      <c r="W63" s="155">
        <f t="shared" ca="1" si="24"/>
        <v>9.1861006792489201E-3</v>
      </c>
    </row>
    <row r="64" spans="1:23" s="96" customFormat="1" x14ac:dyDescent="0.15">
      <c r="A64" s="96" t="s">
        <v>270</v>
      </c>
      <c r="B64" s="97">
        <f ca="1">SUMIF('Data - Průběžky 2021'!$E$3:$J$238,'Průběžky 2021 - rozdělení'!A64,'Data - Průběžky 2021'!$J$3:$J$238)</f>
        <v>0</v>
      </c>
      <c r="C64" s="96">
        <v>10</v>
      </c>
      <c r="D64" s="96">
        <v>2.4500000000000002</v>
      </c>
      <c r="E64" s="97"/>
      <c r="F64" s="97"/>
      <c r="G64" s="97"/>
      <c r="H64" s="97"/>
      <c r="J64" s="97">
        <f ca="1">SUMIF('Data - Průběžky 2021'!$E$3:$AG$238,'Průběžky 2021 - rozdělení'!A64,'Data - Průběžky 2021'!$L$3:$L$237)</f>
        <v>0</v>
      </c>
      <c r="K64" s="97">
        <v>0</v>
      </c>
      <c r="L64" s="97">
        <f ca="1">SUMIF('Data - Průběžky 2021'!$E$3:$N$238,'Průběžky 2021 - rozdělení'!A64,'Data - Průběžky 2021'!$N$3:$N$238)</f>
        <v>0</v>
      </c>
      <c r="M64" s="97">
        <f ca="1">SUMIF('Data - Průběžky 2021'!$E$3:$R$238,'Průběžky 2021 - rozdělení'!A64,'Data - Průběžky 2021'!$O$3:$O$238)+SUMIF('Data - Průběžky 2021'!$E$3:$R$238,'Průběžky 2021 - rozdělení'!A64,'Data - Průběžky 2021'!$P$3:$P$238)+SUMIF('Data - Průběžky 2021'!$E$3:$R$238,'Průběžky 2021 - rozdělení'!A64,'Data - Průběžky 2021'!$Q$3:$Q$238)+SUMIF('Data - Průběžky 2021'!$E$3:$R$238,'Průběžky 2021 - rozdělení'!A64,'Data - Průběžky 2021'!$R$3:$R$238)</f>
        <v>0</v>
      </c>
      <c r="N64" s="97">
        <f ca="1">SUMIF('Data - Průběžky 2021'!$E$3:$AG$238,'Průběžky 2021 - rozdělení'!A64,'Data - Průběžky 2021'!$S$3:$S$237)</f>
        <v>0</v>
      </c>
      <c r="O64" s="97">
        <f ca="1">SUMIF('Data - Průběžky 2021'!$E$3:$AG$238,'Průběžky 2021 - rozdělení'!A64,'Data - Průběžky 2021'!$T$3:$T$237)</f>
        <v>0</v>
      </c>
      <c r="P64" s="97">
        <f ca="1">SUMIF('Data - Průběžky 2021'!$E$3:$AG$238,'Průběžky 2021 - rozdělení'!A64,'Data - Průběžky 2021'!$U$3:$U$237)</f>
        <v>0</v>
      </c>
      <c r="Q64" s="97">
        <f ca="1">SUMIF('Data - Průběžky 2021'!$E$3:$AG$238,'Průběžky 2021 - rozdělení'!A64,'Data - Průběžky 2021'!$V$3:$V$237)</f>
        <v>0</v>
      </c>
      <c r="R64" s="97">
        <f ca="1">SUMIF('Data - Průběžky 2021'!$E$3:$AG$238,'Průběžky 2021 - rozdělení'!A64,'Data - Průběžky 2021'!$W$3:$W$237)+SUMIF('Data - Průběžky 2021'!$E$3:$AG$238,'Průběžky 2021 - rozdělení'!A64,'Data - Průběžky 2021'!$X$3:$X$237)</f>
        <v>0</v>
      </c>
      <c r="S64" s="97">
        <f ca="1">SUMIF('Data - Průběžky 2021'!$E$3:$AG$238,'Průběžky 2021 - rozdělení'!A64,'Data - Průběžky 2021'!$Z$3:$Z$237)</f>
        <v>0</v>
      </c>
      <c r="T64" s="97">
        <f ca="1">SUMIF('Data - Průběžky 2021'!$E$3:$AG$238,'Průběžky 2021 - rozdělení'!A64,'Data - Průběžky 2021'!$AB$3:$AB$237)</f>
        <v>0</v>
      </c>
      <c r="U64" s="97">
        <f ca="1">SUMIF('Data - Průběžky 2021'!$E$3:$AG$238,'Průběžky 2021 - rozdělení'!A64,'Data - Průběžky 2021'!$AC$3:$AC$237)</f>
        <v>0</v>
      </c>
      <c r="V64" s="96">
        <f ca="1">SUMIF('Data - Průběžky 2021'!$E$3:$AG$238,'Průběžky 2021 - rozdělení'!A64,'Data - Průběžky 2021'!$AA$3:$AA$237)</f>
        <v>0</v>
      </c>
      <c r="W64" s="96">
        <f ca="1">SUMIF('Data - Průběžky 2021'!$E$3:$AG$238,'Průběžky 2021 - rozdělení'!A64,'Data - Průběžky 2021'!$AD$3:$AD$237)+SUMIF('Data - Průběžky 2021'!$E$3:$AG$238,'Průběžky 2021 - rozdělení'!A64,'Data - Průběžky 2021'!$AE$3:$AE$237)+SUMIF('Data - Průběžky 2021'!$E$3:$AG$238,'Průběžky 2021 - rozdělení'!A64,'Data - Průběžky 2021'!$AF$3:$AF$237)+SUMIF('Data - Průběžky 2021'!$E$3:$AG$238,'Průběžky 2021 - rozdělení'!A64,'Data - Průběžky 2021'!$AG$3:$AG$237)</f>
        <v>0</v>
      </c>
    </row>
    <row r="65" spans="1:23" s="96" customFormat="1" x14ac:dyDescent="0.15">
      <c r="B65" s="97"/>
      <c r="E65" s="97"/>
      <c r="F65" s="97"/>
      <c r="G65" s="97"/>
      <c r="H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</row>
    <row r="66" spans="1:23" x14ac:dyDescent="0.15">
      <c r="A66" s="92" t="s">
        <v>314</v>
      </c>
      <c r="B66" s="95">
        <f ca="1">SUMIF('Data - Průběžky 2021'!$E$3:$J$238,'Průběžky 2021 - rozdělení'!A66,'Data - Průběžky 2021'!$J$3:$J$238)</f>
        <v>24191320.759999998</v>
      </c>
      <c r="D66" s="92">
        <v>39.798999999999999</v>
      </c>
      <c r="E66" s="95"/>
      <c r="F66" s="95">
        <f ca="1">B66/D66</f>
        <v>607837.40194477246</v>
      </c>
      <c r="G66" s="95"/>
      <c r="H66" s="95">
        <f ca="1">F66/12</f>
        <v>50653.116828731036</v>
      </c>
      <c r="J66" s="95">
        <f ca="1">SUMIF('Data - Průběžky 2021'!$E$3:$AG$238,'Průběžky 2021 - rozdělení'!A66,'Data - Průběžky 2021'!$L$3:$L$237)</f>
        <v>20148277</v>
      </c>
      <c r="K66" s="95">
        <v>0</v>
      </c>
      <c r="L66" s="95">
        <f ca="1">SUMIF('Data - Průběžky 2021'!$E$3:$N$238,'Průběžky 2021 - rozdělení'!A66,'Data - Průběžky 2021'!$N$3:$N$238)</f>
        <v>621000</v>
      </c>
      <c r="M66" s="95">
        <f ca="1">SUMIF('Data - Průběžky 2021'!$E$3:$R$238,'Průběžky 2021 - rozdělení'!A66,'Data - Průběžky 2021'!$O$3:$O$238)+SUMIF('Data - Průběžky 2021'!$E$3:$R$238,'Průběžky 2021 - rozdělení'!A66,'Data - Průběžky 2021'!$P$3:$P$238)+SUMIF('Data - Průběžky 2021'!$E$3:$R$238,'Průběžky 2021 - rozdělení'!A66,'Data - Průběžky 2021'!$Q$3:$Q$238)+SUMIF('Data - Průběžky 2021'!$E$3:$R$238,'Průběžky 2021 - rozdělení'!A66,'Data - Průběžky 2021'!$R$3:$R$238)</f>
        <v>0</v>
      </c>
      <c r="N66" s="95">
        <f ca="1">SUMIF('Data - Průběžky 2021'!$E$3:$AG$238,'Průběžky 2021 - rozdělení'!A66,'Data - Průběžky 2021'!$S$3:$S$237)</f>
        <v>2816240</v>
      </c>
      <c r="O66" s="95">
        <f ca="1">SUMIF('Data - Průběžky 2021'!$E$3:$AG$238,'Průběžky 2021 - rozdělení'!A66,'Data - Průběžky 2021'!$T$3:$T$237)</f>
        <v>0</v>
      </c>
      <c r="P66" s="95">
        <f ca="1">SUMIF('Data - Průběžky 2021'!$E$3:$AG$238,'Průběžky 2021 - rozdělení'!A66,'Data - Průběžky 2021'!$U$3:$U$237)</f>
        <v>359388.47</v>
      </c>
      <c r="Q66" s="95">
        <f ca="1">SUMIF('Data - Průběžky 2021'!$E$3:$AG$238,'Průběžky 2021 - rozdělení'!A66,'Data - Průběžky 2021'!$V$3:$V$237)</f>
        <v>0</v>
      </c>
      <c r="R66" s="95">
        <f ca="1">SUMIF('Data - Průběžky 2021'!$E$3:$AG$238,'Průběžky 2021 - rozdělení'!A66,'Data - Průběžky 2021'!$W$3:$W$237)+SUMIF('Data - Průběžky 2021'!$E$3:$AG$238,'Průběžky 2021 - rozdělení'!A66,'Data - Průběžky 2021'!$X$3:$X$237)</f>
        <v>144951</v>
      </c>
      <c r="S66" s="95">
        <f ca="1">SUMIF('Data - Průběžky 2021'!$E$3:$AG$238,'Průběžky 2021 - rozdělení'!A66,'Data - Průběžky 2021'!$Z$3:$Z$237)</f>
        <v>0</v>
      </c>
      <c r="T66" s="95">
        <f ca="1">SUMIF('Data - Průběžky 2021'!$E$3:$AG$238,'Průběžky 2021 - rozdělení'!A66,'Data - Průběžky 2021'!$AB$3:$AB$237)</f>
        <v>0</v>
      </c>
      <c r="U66" s="95">
        <f ca="1">SUMIF('Data - Průběžky 2021'!$E$3:$AG$238,'Průběžky 2021 - rozdělení'!A66,'Data - Průběžky 2021'!$AC$3:$AC$237)</f>
        <v>0</v>
      </c>
      <c r="V66" s="92">
        <f ca="1">SUMIF('Data - Průběžky 2021'!$E$3:$AG$238,'Průběžky 2021 - rozdělení'!A66,'Data - Průběžky 2021'!$AA$3:$AA$237)</f>
        <v>38413</v>
      </c>
      <c r="W66" s="92">
        <f ca="1">SUMIF('Data - Průběžky 2021'!$E$3:$AG$238,'Průběžky 2021 - rozdělení'!A66,'Data - Průběžky 2021'!$AD$3:$AD$237)+SUMIF('Data - Průběžky 2021'!$E$3:$AG$238,'Průběžky 2021 - rozdělení'!A66,'Data - Průběžky 2021'!$AE$3:$AE$237)+SUMIF('Data - Průběžky 2021'!$E$3:$AG$238,'Průběžky 2021 - rozdělení'!A66,'Data - Průběžky 2021'!$AF$3:$AF$237)+SUMIF('Data - Průběžky 2021'!$E$3:$AG$238,'Průběžky 2021 - rozdělení'!A66,'Data - Průběžky 2021'!$AG$3:$AG$237)</f>
        <v>63051.29</v>
      </c>
    </row>
    <row r="67" spans="1:23" x14ac:dyDescent="0.15">
      <c r="B67" s="95"/>
      <c r="E67" s="95"/>
      <c r="F67" s="95"/>
      <c r="G67" s="95"/>
      <c r="H67" s="95"/>
      <c r="J67" s="100">
        <f ca="1">J66/$B$66</f>
        <v>0.83287213624627254</v>
      </c>
      <c r="K67" s="100">
        <f t="shared" ref="K67:W67" ca="1" si="25">K66/$B$66</f>
        <v>0</v>
      </c>
      <c r="L67" s="100">
        <f t="shared" ca="1" si="25"/>
        <v>2.5670363605232113E-2</v>
      </c>
      <c r="M67" s="100">
        <f t="shared" ca="1" si="25"/>
        <v>0</v>
      </c>
      <c r="N67" s="100">
        <f t="shared" ca="1" si="25"/>
        <v>0.11641530563542493</v>
      </c>
      <c r="O67" s="100">
        <f t="shared" ca="1" si="25"/>
        <v>0</v>
      </c>
      <c r="P67" s="100">
        <f t="shared" ca="1" si="25"/>
        <v>1.4856091305037121E-2</v>
      </c>
      <c r="Q67" s="100">
        <f t="shared" ca="1" si="25"/>
        <v>0</v>
      </c>
      <c r="R67" s="100">
        <f t="shared" ca="1" si="25"/>
        <v>5.9918597020000002E-3</v>
      </c>
      <c r="S67" s="100">
        <f t="shared" ca="1" si="25"/>
        <v>0</v>
      </c>
      <c r="T67" s="100">
        <f t="shared" ca="1" si="25"/>
        <v>0</v>
      </c>
      <c r="U67" s="100">
        <f t="shared" ca="1" si="25"/>
        <v>0</v>
      </c>
      <c r="V67" s="100">
        <f t="shared" ca="1" si="25"/>
        <v>1.5878835381123689E-3</v>
      </c>
      <c r="W67" s="100">
        <f t="shared" ca="1" si="25"/>
        <v>2.6063599679209911E-3</v>
      </c>
    </row>
    <row r="68" spans="1:23" x14ac:dyDescent="0.15">
      <c r="A68" s="153" t="s">
        <v>308</v>
      </c>
      <c r="B68" s="154">
        <f ca="1">SUMIF('Data - Průběžky 2021'!$E$3:$J$238,'Průběžky 2021 - rozdělení'!A68,'Data - Průběžky 2021'!$J$3:$J$238)</f>
        <v>5246886</v>
      </c>
      <c r="C68" s="153"/>
      <c r="D68" s="153">
        <v>10.95</v>
      </c>
      <c r="E68" s="154"/>
      <c r="F68" s="154">
        <f ca="1">B68/D68</f>
        <v>479167.67123287672</v>
      </c>
      <c r="G68" s="154"/>
      <c r="H68" s="154">
        <f ca="1">F68/12</f>
        <v>39930.639269406391</v>
      </c>
      <c r="I68" s="153"/>
      <c r="J68" s="154">
        <f ca="1">SUMIF('Data - Průběžky 2021'!$E$3:$AG$238,'Průběžky 2021 - rozdělení'!A68,'Data - Průběžky 2021'!$L$3:$L$237)</f>
        <v>4576000</v>
      </c>
      <c r="K68" s="154">
        <v>0</v>
      </c>
      <c r="L68" s="154">
        <f ca="1">SUMIF('Data - Průběžky 2021'!$E$3:$N$238,'Průběžky 2021 - rozdělení'!A68,'Data - Průběžky 2021'!$N$3:$N$238)</f>
        <v>60000</v>
      </c>
      <c r="M68" s="154">
        <f ca="1">SUMIF('Data - Průběžky 2021'!$E$3:$R$238,'Průběžky 2021 - rozdělení'!A68,'Data - Průběžky 2021'!$O$3:$O$238)+SUMIF('Data - Průběžky 2021'!$E$3:$R$238,'Průběžky 2021 - rozdělení'!A68,'Data - Průběžky 2021'!$P$3:$P$238)+SUMIF('Data - Průběžky 2021'!$E$3:$R$238,'Průběžky 2021 - rozdělení'!A68,'Data - Průběžky 2021'!$Q$3:$Q$238)+SUMIF('Data - Průběžky 2021'!$E$3:$R$238,'Průběžky 2021 - rozdělení'!A68,'Data - Průběžky 2021'!$R$3:$R$238)</f>
        <v>0</v>
      </c>
      <c r="N68" s="154">
        <f ca="1">SUMIF('Data - Průběžky 2021'!$E$3:$AG$238,'Průběžky 2021 - rozdělení'!A68,'Data - Průběžky 2021'!$S$3:$S$237)</f>
        <v>173230</v>
      </c>
      <c r="O68" s="154">
        <f ca="1">SUMIF('Data - Průběžky 2021'!$E$3:$AG$238,'Průběžky 2021 - rozdělení'!A68,'Data - Průběžky 2021'!$T$3:$T$237)</f>
        <v>0</v>
      </c>
      <c r="P68" s="154">
        <f ca="1">SUMIF('Data - Průběžky 2021'!$E$3:$AG$238,'Průběžky 2021 - rozdělení'!A68,'Data - Průběžky 2021'!$U$3:$U$237)</f>
        <v>0</v>
      </c>
      <c r="Q68" s="154">
        <f ca="1">SUMIF('Data - Průběžky 2021'!$E$3:$AG$238,'Průběžky 2021 - rozdělení'!A68,'Data - Průběžky 2021'!$V$3:$V$237)</f>
        <v>0</v>
      </c>
      <c r="R68" s="154">
        <f ca="1">SUMIF('Data - Průběžky 2021'!$E$3:$AG$238,'Průběžky 2021 - rozdělení'!A68,'Data - Průběžky 2021'!$W$3:$W$237)+SUMIF('Data - Průběžky 2021'!$E$3:$AG$238,'Průběžky 2021 - rozdělení'!A68,'Data - Průběžky 2021'!$X$3:$X$237)</f>
        <v>0</v>
      </c>
      <c r="S68" s="154">
        <f ca="1">SUMIF('Data - Průběžky 2021'!$E$3:$AG$238,'Průběžky 2021 - rozdělení'!A68,'Data - Průběžky 2021'!$Z$3:$Z$237)</f>
        <v>0</v>
      </c>
      <c r="T68" s="154">
        <f ca="1">SUMIF('Data - Průběžky 2021'!$E$3:$AG$238,'Průběžky 2021 - rozdělení'!A68,'Data - Průběžky 2021'!$AB$3:$AB$237)</f>
        <v>0</v>
      </c>
      <c r="U68" s="154">
        <f ca="1">SUMIF('Data - Průběžky 2021'!$E$3:$AG$238,'Průběžky 2021 - rozdělení'!A68,'Data - Průběžky 2021'!$AC$3:$AC$237)</f>
        <v>0</v>
      </c>
      <c r="V68" s="153">
        <f ca="1">SUMIF('Data - Průběžky 2021'!$E$3:$AG$238,'Průběžky 2021 - rozdělení'!A68,'Data - Průběžky 2021'!$AA$3:$AA$237)</f>
        <v>120608</v>
      </c>
      <c r="W68" s="153">
        <f ca="1">SUMIF('Data - Průběžky 2021'!$E$3:$AG$238,'Průběžky 2021 - rozdělení'!A68,'Data - Průběžky 2021'!$AD$3:$AD$237)+SUMIF('Data - Průběžky 2021'!$E$3:$AG$238,'Průběžky 2021 - rozdělení'!A68,'Data - Průběžky 2021'!$AE$3:$AE$237)+SUMIF('Data - Průběžky 2021'!$E$3:$AG$238,'Průběžky 2021 - rozdělení'!A68,'Data - Průběžky 2021'!$AF$3:$AF$237)+SUMIF('Data - Průběžky 2021'!$E$3:$AG$238,'Průběžky 2021 - rozdělení'!A68,'Data - Průběžky 2021'!$AG$3:$AG$237)</f>
        <v>317048</v>
      </c>
    </row>
    <row r="69" spans="1:23" x14ac:dyDescent="0.15">
      <c r="A69" s="153"/>
      <c r="B69" s="154"/>
      <c r="C69" s="153"/>
      <c r="D69" s="153"/>
      <c r="E69" s="154"/>
      <c r="F69" s="154"/>
      <c r="G69" s="154"/>
      <c r="H69" s="154"/>
      <c r="I69" s="153"/>
      <c r="J69" s="155">
        <f ca="1">J68/$B$68</f>
        <v>0.87213634906495019</v>
      </c>
      <c r="K69" s="155">
        <f t="shared" ref="K69:W69" ca="1" si="26">K68/$B$68</f>
        <v>0</v>
      </c>
      <c r="L69" s="155">
        <f t="shared" ca="1" si="26"/>
        <v>1.143535422725022E-2</v>
      </c>
      <c r="M69" s="155">
        <f t="shared" ca="1" si="26"/>
        <v>0</v>
      </c>
      <c r="N69" s="155">
        <f t="shared" ca="1" si="26"/>
        <v>3.3015773546442598E-2</v>
      </c>
      <c r="O69" s="155">
        <f t="shared" ca="1" si="26"/>
        <v>0</v>
      </c>
      <c r="P69" s="155">
        <f t="shared" ca="1" si="26"/>
        <v>0</v>
      </c>
      <c r="Q69" s="155">
        <f t="shared" ca="1" si="26"/>
        <v>0</v>
      </c>
      <c r="R69" s="155">
        <f t="shared" ca="1" si="26"/>
        <v>0</v>
      </c>
      <c r="S69" s="155">
        <f t="shared" ca="1" si="26"/>
        <v>0</v>
      </c>
      <c r="T69" s="155">
        <f t="shared" ca="1" si="26"/>
        <v>0</v>
      </c>
      <c r="U69" s="155">
        <f t="shared" ca="1" si="26"/>
        <v>0</v>
      </c>
      <c r="V69" s="155">
        <f t="shared" ca="1" si="26"/>
        <v>2.2986586710669908E-2</v>
      </c>
      <c r="W69" s="155">
        <f t="shared" ca="1" si="26"/>
        <v>6.0425936450687133E-2</v>
      </c>
    </row>
    <row r="70" spans="1:23" x14ac:dyDescent="0.15">
      <c r="A70" s="92" t="s">
        <v>338</v>
      </c>
      <c r="B70" s="95">
        <f ca="1">SUMIF('Data - Průběžky 2021'!$E$3:$J$238,'Průběžky 2021 - rozdělení'!A70,'Data - Průběžky 2021'!$J$3:$J$238)</f>
        <v>15700670</v>
      </c>
      <c r="D70" s="92">
        <v>23.7</v>
      </c>
      <c r="E70" s="95"/>
      <c r="F70" s="95">
        <f ca="1">B70/D70</f>
        <v>662475.52742616041</v>
      </c>
      <c r="G70" s="95"/>
      <c r="H70" s="95">
        <f ca="1">F70/12</f>
        <v>55206.293952180036</v>
      </c>
      <c r="J70" s="95">
        <f ca="1">SUMIF('Data - Průběžky 2021'!$E$3:$AG$238,'Průběžky 2021 - rozdělení'!A70,'Data - Průběžky 2021'!$L$3:$L$237)</f>
        <v>13086413</v>
      </c>
      <c r="K70" s="95">
        <v>1000000</v>
      </c>
      <c r="L70" s="95">
        <f ca="1">SUMIF('Data - Průběžky 2021'!$E$3:$N$238,'Průběžky 2021 - rozdělení'!A70,'Data - Průběžky 2021'!$N$3:$N$238)</f>
        <v>362000</v>
      </c>
      <c r="M70" s="95">
        <f ca="1">SUMIF('Data - Průběžky 2021'!$E$3:$R$238,'Průběžky 2021 - rozdělení'!A70,'Data - Průběžky 2021'!$O$3:$O$238)+SUMIF('Data - Průběžky 2021'!$E$3:$R$238,'Průběžky 2021 - rozdělení'!A70,'Data - Průběžky 2021'!$P$3:$P$238)+SUMIF('Data - Průběžky 2021'!$E$3:$R$238,'Průběžky 2021 - rozdělení'!A70,'Data - Průběžky 2021'!$Q$3:$Q$238)+SUMIF('Data - Průběžky 2021'!$E$3:$R$238,'Průběžky 2021 - rozdělení'!A70,'Data - Průběžky 2021'!$R$3:$R$238)</f>
        <v>0</v>
      </c>
      <c r="N70" s="95">
        <f ca="1">SUMIF('Data - Průběžky 2021'!$E$3:$AG$238,'Průběžky 2021 - rozdělení'!A70,'Data - Průběžky 2021'!$S$3:$S$237)</f>
        <v>702134</v>
      </c>
      <c r="O70" s="95">
        <f ca="1">SUMIF('Data - Průběžky 2021'!$E$3:$AG$238,'Průběžky 2021 - rozdělení'!A70,'Data - Průběžky 2021'!$T$3:$T$237)</f>
        <v>0</v>
      </c>
      <c r="P70" s="95">
        <f ca="1">SUMIF('Data - Průběžky 2021'!$E$3:$AG$238,'Průběžky 2021 - rozdělení'!A70,'Data - Průběžky 2021'!$U$3:$U$237)</f>
        <v>0</v>
      </c>
      <c r="Q70" s="95">
        <f ca="1">SUMIF('Data - Průběžky 2021'!$E$3:$AG$238,'Průběžky 2021 - rozdělení'!A70,'Data - Průběžky 2021'!$V$3:$V$237)</f>
        <v>282606</v>
      </c>
      <c r="R70" s="95">
        <f ca="1">SUMIF('Data - Průběžky 2021'!$E$3:$AG$238,'Průběžky 2021 - rozdělení'!A70,'Data - Průběžky 2021'!$W$3:$W$237)+SUMIF('Data - Průběžky 2021'!$E$3:$AG$238,'Průběžky 2021 - rozdělení'!A70,'Data - Průběžky 2021'!$X$3:$X$237)</f>
        <v>0</v>
      </c>
      <c r="S70" s="95">
        <f ca="1">SUMIF('Data - Průběžky 2021'!$E$3:$AG$238,'Průběžky 2021 - rozdělení'!A70,'Data - Průběžky 2021'!$Z$3:$Z$237)</f>
        <v>30645</v>
      </c>
      <c r="T70" s="95">
        <f ca="1">SUMIF('Data - Průběžky 2021'!$E$3:$AG$238,'Průběžky 2021 - rozdělení'!A70,'Data - Průběžky 2021'!$AB$3:$AB$237)</f>
        <v>0</v>
      </c>
      <c r="U70" s="95">
        <f ca="1">SUMIF('Data - Průběžky 2021'!$E$3:$AG$238,'Průběžky 2021 - rozdělení'!A70,'Data - Průběžky 2021'!$AC$3:$AC$237)</f>
        <v>0</v>
      </c>
      <c r="V70" s="92">
        <f ca="1">SUMIF('Data - Průběžky 2021'!$E$3:$AG$238,'Průběžky 2021 - rozdělení'!A70,'Data - Průběžky 2021'!$AA$3:$AA$237)</f>
        <v>40800</v>
      </c>
      <c r="W70" s="92">
        <f ca="1">SUMIF('Data - Průběžky 2021'!$E$3:$AG$238,'Průběžky 2021 - rozdělení'!A70,'Data - Průběžky 2021'!$AD$3:$AD$237)+SUMIF('Data - Průběžky 2021'!$E$3:$AG$238,'Průběžky 2021 - rozdělení'!A70,'Data - Průběžky 2021'!$AE$3:$AE$237)+SUMIF('Data - Průběžky 2021'!$E$3:$AG$238,'Průběžky 2021 - rozdělení'!A70,'Data - Průběžky 2021'!$AF$3:$AF$237)+SUMIF('Data - Průběžky 2021'!$E$3:$AG$238,'Průběžky 2021 - rozdělení'!A70,'Data - Průběžky 2021'!$AG$3:$AG$237)</f>
        <v>196072</v>
      </c>
    </row>
    <row r="71" spans="1:23" x14ac:dyDescent="0.15">
      <c r="B71" s="95"/>
      <c r="E71" s="95"/>
      <c r="F71" s="95"/>
      <c r="G71" s="95"/>
      <c r="H71" s="95"/>
      <c r="J71" s="100">
        <f ca="1">J70/$B$70</f>
        <v>0.83349392096006092</v>
      </c>
      <c r="K71" s="100">
        <f t="shared" ref="K71:W71" ca="1" si="27">K70/$B$70</f>
        <v>6.369154946890801E-2</v>
      </c>
      <c r="L71" s="100">
        <f t="shared" ca="1" si="27"/>
        <v>2.30563409077447E-2</v>
      </c>
      <c r="M71" s="100">
        <f t="shared" ca="1" si="27"/>
        <v>0</v>
      </c>
      <c r="N71" s="100">
        <f t="shared" ca="1" si="27"/>
        <v>4.4720002394802262E-2</v>
      </c>
      <c r="O71" s="100">
        <f t="shared" ca="1" si="27"/>
        <v>0</v>
      </c>
      <c r="P71" s="100">
        <f t="shared" ca="1" si="27"/>
        <v>0</v>
      </c>
      <c r="Q71" s="100">
        <f t="shared" ca="1" si="27"/>
        <v>1.7999614029210218E-2</v>
      </c>
      <c r="R71" s="100">
        <f t="shared" ca="1" si="27"/>
        <v>0</v>
      </c>
      <c r="S71" s="100">
        <f t="shared" ca="1" si="27"/>
        <v>1.951827533474686E-3</v>
      </c>
      <c r="T71" s="100">
        <f t="shared" ca="1" si="27"/>
        <v>0</v>
      </c>
      <c r="U71" s="100">
        <f t="shared" ca="1" si="27"/>
        <v>0</v>
      </c>
      <c r="V71" s="100">
        <f t="shared" ca="1" si="27"/>
        <v>2.598615218331447E-3</v>
      </c>
      <c r="W71" s="100">
        <f t="shared" ca="1" si="27"/>
        <v>1.2488129487467732E-2</v>
      </c>
    </row>
    <row r="72" spans="1:23" s="96" customFormat="1" x14ac:dyDescent="0.15">
      <c r="A72" s="96" t="s">
        <v>277</v>
      </c>
      <c r="B72" s="97">
        <f ca="1">SUMIF('Data - Průběžky 2021'!$E$3:$J$238,'Průběžky 2021 - rozdělení'!A72,'Data - Průběžky 2021'!$J$3:$J$238)</f>
        <v>0</v>
      </c>
      <c r="C72" s="96">
        <v>15</v>
      </c>
      <c r="D72" s="96">
        <v>8.35</v>
      </c>
      <c r="E72" s="97"/>
      <c r="F72" s="97"/>
      <c r="G72" s="97"/>
      <c r="H72" s="97"/>
      <c r="J72" s="97">
        <f ca="1">SUMIF('Data - Průběžky 2021'!$E$3:$AG$238,'Průběžky 2021 - rozdělení'!A72,'Data - Průběžky 2021'!$L$3:$L$237)</f>
        <v>0</v>
      </c>
      <c r="K72" s="97">
        <v>0</v>
      </c>
      <c r="L72" s="97">
        <f ca="1">SUMIF('Data - Průběžky 2021'!$E$3:$N$238,'Průběžky 2021 - rozdělení'!A72,'Data - Průběžky 2021'!$N$3:$N$238)</f>
        <v>0</v>
      </c>
      <c r="M72" s="97">
        <f ca="1">SUMIF('Data - Průběžky 2021'!$E$3:$R$238,'Průběžky 2021 - rozdělení'!A72,'Data - Průběžky 2021'!$O$3:$O$238)+SUMIF('Data - Průběžky 2021'!$E$3:$R$238,'Průběžky 2021 - rozdělení'!A72,'Data - Průběžky 2021'!$P$3:$P$238)+SUMIF('Data - Průběžky 2021'!$E$3:$R$238,'Průběžky 2021 - rozdělení'!A72,'Data - Průběžky 2021'!$Q$3:$Q$238)+SUMIF('Data - Průběžky 2021'!$E$3:$R$238,'Průběžky 2021 - rozdělení'!A72,'Data - Průběžky 2021'!$R$3:$R$238)</f>
        <v>0</v>
      </c>
      <c r="N72" s="97">
        <f ca="1">SUMIF('Data - Průběžky 2021'!$E$3:$AG$238,'Průběžky 2021 - rozdělení'!A72,'Data - Průběžky 2021'!$S$3:$S$237)</f>
        <v>0</v>
      </c>
      <c r="O72" s="97">
        <f ca="1">SUMIF('Data - Průběžky 2021'!$E$3:$AG$238,'Průběžky 2021 - rozdělení'!A72,'Data - Průběžky 2021'!$T$3:$T$237)</f>
        <v>0</v>
      </c>
      <c r="P72" s="97">
        <f ca="1">SUMIF('Data - Průběžky 2021'!$E$3:$AG$238,'Průběžky 2021 - rozdělení'!A72,'Data - Průběžky 2021'!$U$3:$U$237)</f>
        <v>0</v>
      </c>
      <c r="Q72" s="97">
        <f ca="1">SUMIF('Data - Průběžky 2021'!$E$3:$AG$238,'Průběžky 2021 - rozdělení'!A72,'Data - Průběžky 2021'!$V$3:$V$237)</f>
        <v>0</v>
      </c>
      <c r="R72" s="97">
        <f ca="1">SUMIF('Data - Průběžky 2021'!$E$3:$AG$238,'Průběžky 2021 - rozdělení'!A72,'Data - Průběžky 2021'!$W$3:$W$237)+SUMIF('Data - Průběžky 2021'!$E$3:$AG$238,'Průběžky 2021 - rozdělení'!A72,'Data - Průběžky 2021'!$X$3:$X$237)</f>
        <v>0</v>
      </c>
      <c r="S72" s="97">
        <f ca="1">SUMIF('Data - Průběžky 2021'!$E$3:$AG$238,'Průběžky 2021 - rozdělení'!A72,'Data - Průběžky 2021'!$Z$3:$Z$237)</f>
        <v>0</v>
      </c>
      <c r="T72" s="97">
        <f ca="1">SUMIF('Data - Průběžky 2021'!$E$3:$AG$238,'Průběžky 2021 - rozdělení'!A72,'Data - Průběžky 2021'!$AB$3:$AB$237)</f>
        <v>0</v>
      </c>
      <c r="U72" s="97">
        <f ca="1">SUMIF('Data - Průběžky 2021'!$E$3:$AG$238,'Průběžky 2021 - rozdělení'!A72,'Data - Průběžky 2021'!$AC$3:$AC$237)</f>
        <v>0</v>
      </c>
      <c r="V72" s="96">
        <f ca="1">SUMIF('Data - Průběžky 2021'!$E$3:$AG$238,'Průběžky 2021 - rozdělení'!A72,'Data - Průběžky 2021'!$AA$3:$AA$237)</f>
        <v>0</v>
      </c>
      <c r="W72" s="96">
        <f ca="1">SUMIF('Data - Průběžky 2021'!$E$3:$AG$238,'Průběžky 2021 - rozdělení'!A72,'Data - Průběžky 2021'!$AD$3:$AD$237)+SUMIF('Data - Průběžky 2021'!$E$3:$AG$238,'Průběžky 2021 - rozdělení'!A72,'Data - Průběžky 2021'!$AE$3:$AE$237)+SUMIF('Data - Průběžky 2021'!$E$3:$AG$238,'Průběžky 2021 - rozdělení'!A72,'Data - Průběžky 2021'!$AF$3:$AF$237)+SUMIF('Data - Průběžky 2021'!$E$3:$AG$238,'Průběžky 2021 - rozdělení'!A72,'Data - Průběžky 2021'!$AG$3:$AG$237)</f>
        <v>0</v>
      </c>
    </row>
    <row r="73" spans="1:23" s="96" customFormat="1" x14ac:dyDescent="0.15">
      <c r="B73" s="97"/>
      <c r="E73" s="97"/>
      <c r="F73" s="97"/>
      <c r="G73" s="97"/>
      <c r="H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</row>
    <row r="74" spans="1:23" x14ac:dyDescent="0.15">
      <c r="A74" s="153" t="s">
        <v>331</v>
      </c>
      <c r="B74" s="154">
        <f ca="1">SUMIF('Data - Průběžky 2021'!$E$3:$J$238,'Průběžky 2021 - rozdělení'!A74,'Data - Průběžky 2021'!$J$3:$J$238)</f>
        <v>23562602.960000001</v>
      </c>
      <c r="C74" s="153"/>
      <c r="D74" s="153">
        <v>40.75</v>
      </c>
      <c r="E74" s="154"/>
      <c r="F74" s="154">
        <f ca="1">B74/D74</f>
        <v>578223.38552147243</v>
      </c>
      <c r="G74" s="154"/>
      <c r="H74" s="154">
        <f ca="1">F74/12</f>
        <v>48185.282126789367</v>
      </c>
      <c r="I74" s="153"/>
      <c r="J74" s="154">
        <f ca="1">SUMIF('Data - Průběžky 2021'!$E$3:$AG$238,'Průběžky 2021 - rozdělení'!A74,'Data - Průběžky 2021'!$L$3:$L$237)</f>
        <v>17054000</v>
      </c>
      <c r="K74" s="154">
        <v>0</v>
      </c>
      <c r="L74" s="154">
        <f ca="1">SUMIF('Data - Průběžky 2021'!$E$3:$N$238,'Průběžky 2021 - rozdělení'!A74,'Data - Průběžky 2021'!$N$3:$N$238)</f>
        <v>1438000</v>
      </c>
      <c r="M74" s="154">
        <f ca="1">SUMIF('Data - Průběžky 2021'!$E$3:$R$238,'Průběžky 2021 - rozdělení'!A74,'Data - Průběžky 2021'!$O$3:$O$238)+SUMIF('Data - Průběžky 2021'!$E$3:$R$238,'Průběžky 2021 - rozdělení'!A74,'Data - Průběžky 2021'!$P$3:$P$238)+SUMIF('Data - Průběžky 2021'!$E$3:$R$238,'Průběžky 2021 - rozdělení'!A74,'Data - Průběžky 2021'!$Q$3:$Q$238)+SUMIF('Data - Průběžky 2021'!$E$3:$R$238,'Průběžky 2021 - rozdělení'!A74,'Data - Průběžky 2021'!$R$3:$R$238)</f>
        <v>0</v>
      </c>
      <c r="N74" s="154">
        <f ca="1">SUMIF('Data - Průběžky 2021'!$E$3:$AG$238,'Průběžky 2021 - rozdělení'!A74,'Data - Průběžky 2021'!$S$3:$S$237)</f>
        <v>2031017</v>
      </c>
      <c r="O74" s="154">
        <f ca="1">SUMIF('Data - Průběžky 2021'!$E$3:$AG$238,'Průběžky 2021 - rozdělení'!A74,'Data - Průběžky 2021'!$T$3:$T$237)</f>
        <v>0</v>
      </c>
      <c r="P74" s="154">
        <f ca="1">SUMIF('Data - Průběžky 2021'!$E$3:$AG$238,'Průběžky 2021 - rozdělení'!A74,'Data - Průběžky 2021'!$U$3:$U$237)</f>
        <v>1186050</v>
      </c>
      <c r="Q74" s="154">
        <f ca="1">SUMIF('Data - Průběžky 2021'!$E$3:$AG$238,'Průběžky 2021 - rozdělení'!A74,'Data - Průběžky 2021'!$V$3:$V$237)</f>
        <v>0</v>
      </c>
      <c r="R74" s="154">
        <f ca="1">SUMIF('Data - Průběžky 2021'!$E$3:$AG$238,'Průběžky 2021 - rozdělení'!A74,'Data - Průběžky 2021'!$W$3:$W$237)+SUMIF('Data - Průběžky 2021'!$E$3:$AG$238,'Průběžky 2021 - rozdělení'!A74,'Data - Průběžky 2021'!$X$3:$X$237)</f>
        <v>1847000</v>
      </c>
      <c r="S74" s="154">
        <f ca="1">SUMIF('Data - Průběžky 2021'!$E$3:$AG$238,'Průběžky 2021 - rozdělení'!A74,'Data - Průběžky 2021'!$Z$3:$Z$237)</f>
        <v>0</v>
      </c>
      <c r="T74" s="154">
        <f ca="1">SUMIF('Data - Průběžky 2021'!$E$3:$AG$238,'Průběžky 2021 - rozdělení'!A74,'Data - Průběžky 2021'!$AB$3:$AB$237)</f>
        <v>0</v>
      </c>
      <c r="U74" s="154">
        <f ca="1">SUMIF('Data - Průběžky 2021'!$E$3:$AG$238,'Průběžky 2021 - rozdělení'!A74,'Data - Průběžky 2021'!$AC$3:$AC$237)</f>
        <v>0</v>
      </c>
      <c r="V74" s="153">
        <f ca="1">SUMIF('Data - Průběžky 2021'!$E$3:$AG$238,'Průběžky 2021 - rozdělení'!A74,'Data - Průběžky 2021'!$AA$3:$AA$237)</f>
        <v>0</v>
      </c>
      <c r="W74" s="153">
        <f ca="1">SUMIF('Data - Průběžky 2021'!$E$3:$AG$238,'Průběžky 2021 - rozdělení'!A74,'Data - Průběžky 2021'!$AD$3:$AD$237)+SUMIF('Data - Průběžky 2021'!$E$3:$AG$238,'Průběžky 2021 - rozdělení'!A74,'Data - Průběžky 2021'!$AE$3:$AE$237)+SUMIF('Data - Průběžky 2021'!$E$3:$AG$238,'Průběžky 2021 - rozdělení'!A74,'Data - Průběžky 2021'!$AF$3:$AF$237)+SUMIF('Data - Průběžky 2021'!$E$3:$AG$238,'Průběžky 2021 - rozdělení'!A74,'Data - Průběžky 2021'!$AG$3:$AG$237)</f>
        <v>6535.96</v>
      </c>
    </row>
    <row r="75" spans="1:23" x14ac:dyDescent="0.15">
      <c r="A75" s="153"/>
      <c r="B75" s="154"/>
      <c r="C75" s="153"/>
      <c r="D75" s="153"/>
      <c r="E75" s="154"/>
      <c r="F75" s="154"/>
      <c r="G75" s="154"/>
      <c r="H75" s="154"/>
      <c r="I75" s="153"/>
      <c r="J75" s="155">
        <f ca="1">J74/$B$74</f>
        <v>0.72377402568599747</v>
      </c>
      <c r="K75" s="155">
        <f t="shared" ref="K75:W75" ca="1" si="28">K74/$B$74</f>
        <v>0</v>
      </c>
      <c r="L75" s="155">
        <f t="shared" ca="1" si="28"/>
        <v>6.1028911043536083E-2</v>
      </c>
      <c r="M75" s="155">
        <f t="shared" ca="1" si="28"/>
        <v>0</v>
      </c>
      <c r="N75" s="155">
        <f t="shared" ca="1" si="28"/>
        <v>8.619663130800384E-2</v>
      </c>
      <c r="O75" s="155">
        <f t="shared" ca="1" si="28"/>
        <v>0</v>
      </c>
      <c r="P75" s="155">
        <f t="shared" ca="1" si="28"/>
        <v>5.0336119571061176E-2</v>
      </c>
      <c r="Q75" s="155">
        <f t="shared" ca="1" si="28"/>
        <v>0</v>
      </c>
      <c r="R75" s="155">
        <f t="shared" ca="1" si="28"/>
        <v>7.8386925380675335E-2</v>
      </c>
      <c r="S75" s="155">
        <f t="shared" ca="1" si="28"/>
        <v>0</v>
      </c>
      <c r="T75" s="155">
        <f t="shared" ca="1" si="28"/>
        <v>0</v>
      </c>
      <c r="U75" s="155">
        <f t="shared" ca="1" si="28"/>
        <v>0</v>
      </c>
      <c r="V75" s="155">
        <f t="shared" ca="1" si="28"/>
        <v>0</v>
      </c>
      <c r="W75" s="155">
        <f t="shared" ca="1" si="28"/>
        <v>2.7738701072608488E-4</v>
      </c>
    </row>
    <row r="76" spans="1:23" x14ac:dyDescent="0.15">
      <c r="A76" s="92" t="s">
        <v>343</v>
      </c>
      <c r="B76" s="95">
        <f ca="1">SUMIF('Data - Průběžky 2021'!$E$3:$J$238,'Průběžky 2021 - rozdělení'!A76,'Data - Průběžky 2021'!$J$3:$J$238)</f>
        <v>15434402</v>
      </c>
      <c r="D76" s="92">
        <v>25.049999999999997</v>
      </c>
      <c r="E76" s="95"/>
      <c r="F76" s="95">
        <f ca="1">B76/D76</f>
        <v>616143.79241516977</v>
      </c>
      <c r="G76" s="95"/>
      <c r="H76" s="95">
        <f ca="1">F76/12</f>
        <v>51345.316034597483</v>
      </c>
      <c r="J76" s="95">
        <f ca="1">SUMIF('Data - Průběžky 2021'!$E$3:$AG$238,'Průběžky 2021 - rozdělení'!A76,'Data - Průběžky 2021'!$L$3:$L$237)</f>
        <v>11867493</v>
      </c>
      <c r="K76" s="95">
        <v>0</v>
      </c>
      <c r="L76" s="95">
        <f ca="1">SUMIF('Data - Průběžky 2021'!$E$3:$N$238,'Průběžky 2021 - rozdělení'!A76,'Data - Průběžky 2021'!$N$3:$N$238)</f>
        <v>540000</v>
      </c>
      <c r="M76" s="95">
        <f ca="1">SUMIF('Data - Průběžky 2021'!$E$3:$R$238,'Průběžky 2021 - rozdělení'!A76,'Data - Průběžky 2021'!$O$3:$O$238)+SUMIF('Data - Průběžky 2021'!$E$3:$R$238,'Průběžky 2021 - rozdělení'!A76,'Data - Průběžky 2021'!$P$3:$P$238)+SUMIF('Data - Průběžky 2021'!$E$3:$R$238,'Průběžky 2021 - rozdělení'!A76,'Data - Průběžky 2021'!$Q$3:$Q$238)+SUMIF('Data - Průběžky 2021'!$E$3:$R$238,'Průběžky 2021 - rozdělení'!A76,'Data - Průběžky 2021'!$R$3:$R$238)</f>
        <v>0</v>
      </c>
      <c r="N76" s="95">
        <f ca="1">SUMIF('Data - Průběžky 2021'!$E$3:$AG$238,'Průběžky 2021 - rozdělení'!A76,'Data - Průběžky 2021'!$S$3:$S$237)</f>
        <v>771080</v>
      </c>
      <c r="O76" s="95">
        <f ca="1">SUMIF('Data - Průběžky 2021'!$E$3:$AG$238,'Průběžky 2021 - rozdělení'!A76,'Data - Průběžky 2021'!$T$3:$T$237)</f>
        <v>0</v>
      </c>
      <c r="P76" s="95">
        <f ca="1">SUMIF('Data - Průběžky 2021'!$E$3:$AG$238,'Průběžky 2021 - rozdělení'!A76,'Data - Průběžky 2021'!$U$3:$U$237)</f>
        <v>0</v>
      </c>
      <c r="Q76" s="95">
        <f ca="1">SUMIF('Data - Průběžky 2021'!$E$3:$AG$238,'Průběžky 2021 - rozdělení'!A76,'Data - Průběžky 2021'!$V$3:$V$237)</f>
        <v>21384</v>
      </c>
      <c r="R76" s="95">
        <f ca="1">SUMIF('Data - Průběžky 2021'!$E$3:$AG$238,'Průběžky 2021 - rozdělení'!A76,'Data - Průběžky 2021'!$W$3:$W$237)+SUMIF('Data - Průběžky 2021'!$E$3:$AG$238,'Průběžky 2021 - rozdělení'!A76,'Data - Průběžky 2021'!$X$3:$X$237)</f>
        <v>2051337</v>
      </c>
      <c r="S76" s="95">
        <f ca="1">SUMIF('Data - Průběžky 2021'!$E$3:$AG$238,'Průběžky 2021 - rozdělení'!A76,'Data - Průběžky 2021'!$Z$3:$Z$237)</f>
        <v>0</v>
      </c>
      <c r="T76" s="95">
        <f ca="1">SUMIF('Data - Průběžky 2021'!$E$3:$AG$238,'Průběžky 2021 - rozdělení'!A76,'Data - Průběžky 2021'!$AB$3:$AB$237)</f>
        <v>0</v>
      </c>
      <c r="U76" s="95">
        <f ca="1">SUMIF('Data - Průběžky 2021'!$E$3:$AG$238,'Průběžky 2021 - rozdělení'!A76,'Data - Průběžky 2021'!$AC$3:$AC$237)</f>
        <v>0</v>
      </c>
      <c r="V76" s="92">
        <f ca="1">SUMIF('Data - Průběžky 2021'!$E$3:$AG$238,'Průběžky 2021 - rozdělení'!A76,'Data - Průběžky 2021'!$AA$3:$AA$237)</f>
        <v>53108</v>
      </c>
      <c r="W76" s="92">
        <f ca="1">SUMIF('Data - Průběžky 2021'!$E$3:$AG$238,'Průběžky 2021 - rozdělení'!A76,'Data - Průběžky 2021'!$AD$3:$AD$237)+SUMIF('Data - Průběžky 2021'!$E$3:$AG$238,'Průběžky 2021 - rozdělení'!A76,'Data - Průběžky 2021'!$AE$3:$AE$237)+SUMIF('Data - Průběžky 2021'!$E$3:$AG$238,'Průběžky 2021 - rozdělení'!A76,'Data - Průběžky 2021'!$AF$3:$AF$237)+SUMIF('Data - Průběžky 2021'!$E$3:$AG$238,'Průběžky 2021 - rozdělení'!A76,'Data - Průběžky 2021'!$AG$3:$AG$237)</f>
        <v>130000</v>
      </c>
    </row>
    <row r="77" spans="1:23" x14ac:dyDescent="0.15">
      <c r="B77" s="95"/>
      <c r="E77" s="95"/>
      <c r="F77" s="95"/>
      <c r="G77" s="95"/>
      <c r="H77" s="95"/>
      <c r="J77" s="100">
        <f ca="1">J76/$B$76</f>
        <v>0.76889878856336646</v>
      </c>
      <c r="K77" s="100">
        <f t="shared" ref="K77:W77" ca="1" si="29">K76/$B$76</f>
        <v>0</v>
      </c>
      <c r="L77" s="100">
        <f t="shared" ca="1" si="29"/>
        <v>3.4986778237342787E-2</v>
      </c>
      <c r="M77" s="100">
        <f t="shared" ca="1" si="29"/>
        <v>0</v>
      </c>
      <c r="N77" s="100">
        <f t="shared" ca="1" si="29"/>
        <v>4.9958527709722735E-2</v>
      </c>
      <c r="O77" s="100">
        <f t="shared" ca="1" si="29"/>
        <v>0</v>
      </c>
      <c r="P77" s="100">
        <f t="shared" ca="1" si="29"/>
        <v>0</v>
      </c>
      <c r="Q77" s="100">
        <f t="shared" ca="1" si="29"/>
        <v>1.3854764181987745E-3</v>
      </c>
      <c r="R77" s="100">
        <f t="shared" ca="1" si="29"/>
        <v>0.13290680131306676</v>
      </c>
      <c r="S77" s="100">
        <f t="shared" ca="1" si="29"/>
        <v>0</v>
      </c>
      <c r="T77" s="100">
        <f t="shared" ca="1" si="29"/>
        <v>0</v>
      </c>
      <c r="U77" s="100">
        <f t="shared" ca="1" si="29"/>
        <v>0</v>
      </c>
      <c r="V77" s="100">
        <f t="shared" ca="1" si="29"/>
        <v>3.4408848493125942E-3</v>
      </c>
      <c r="W77" s="100">
        <f t="shared" ca="1" si="29"/>
        <v>8.4227429089899306E-3</v>
      </c>
    </row>
    <row r="78" spans="1:23" x14ac:dyDescent="0.15">
      <c r="A78" s="401" t="s">
        <v>791</v>
      </c>
      <c r="B78" s="105">
        <f t="shared" ref="B78:I78" ca="1" si="30">SUBTOTAL(9,B2:B76)</f>
        <v>2102319691.2</v>
      </c>
      <c r="C78" s="105">
        <f t="shared" si="30"/>
        <v>2492</v>
      </c>
      <c r="D78" s="105">
        <f t="shared" si="30"/>
        <v>2204.1279999999997</v>
      </c>
      <c r="E78" s="105">
        <f t="shared" ca="1" si="30"/>
        <v>3188956.7439281624</v>
      </c>
      <c r="F78" s="105">
        <f t="shared" ca="1" si="30"/>
        <v>17286148.315849591</v>
      </c>
      <c r="G78" s="105">
        <f t="shared" ca="1" si="30"/>
        <v>265746.39532734687</v>
      </c>
      <c r="H78" s="105">
        <f t="shared" ca="1" si="30"/>
        <v>1440512.3596541327</v>
      </c>
      <c r="I78" s="105">
        <f t="shared" si="30"/>
        <v>0</v>
      </c>
      <c r="J78" s="105">
        <f t="shared" ref="J78:W78" ca="1" si="31">SUBTOTAL(9,J2,J8,J10,J12,J14,J16,J18,J20,J22,J24,J26,J28,J34,J40,J42,J44,J46,J48,J50,J52,J54,J56,J58,J60,J62,J64,J66,J68,J70,J72,J74,J76)</f>
        <v>827841578</v>
      </c>
      <c r="K78" s="105">
        <f t="shared" si="31"/>
        <v>112111925</v>
      </c>
      <c r="L78" s="105">
        <f t="shared" ca="1" si="31"/>
        <v>12541000</v>
      </c>
      <c r="M78" s="105">
        <f t="shared" ca="1" si="31"/>
        <v>1012179</v>
      </c>
      <c r="N78" s="105">
        <f t="shared" ca="1" si="31"/>
        <v>27658604.969999999</v>
      </c>
      <c r="O78" s="105">
        <f t="shared" ca="1" si="31"/>
        <v>112502766</v>
      </c>
      <c r="P78" s="105">
        <f t="shared" ca="1" si="31"/>
        <v>3508717.2199999997</v>
      </c>
      <c r="Q78" s="105">
        <f t="shared" ca="1" si="31"/>
        <v>1011901</v>
      </c>
      <c r="R78" s="105">
        <f t="shared" ca="1" si="31"/>
        <v>8637106.0199999996</v>
      </c>
      <c r="S78" s="105">
        <f t="shared" ca="1" si="31"/>
        <v>216578165.13</v>
      </c>
      <c r="T78" s="105">
        <f t="shared" ca="1" si="31"/>
        <v>56219853.550000012</v>
      </c>
      <c r="U78" s="105">
        <f t="shared" ca="1" si="31"/>
        <v>9445076.8299999982</v>
      </c>
      <c r="V78" s="105">
        <f t="shared" ca="1" si="31"/>
        <v>41742683.5</v>
      </c>
      <c r="W78" s="105">
        <f t="shared" ca="1" si="31"/>
        <v>15076521.920000002</v>
      </c>
    </row>
    <row r="79" spans="1:23" x14ac:dyDescent="0.15">
      <c r="A79" s="401"/>
      <c r="B79" s="104"/>
      <c r="C79" s="104"/>
      <c r="D79" s="104"/>
      <c r="E79" s="104"/>
      <c r="F79" s="104"/>
      <c r="G79" s="104"/>
      <c r="H79" s="104"/>
      <c r="I79" s="104"/>
      <c r="J79" s="106">
        <f t="shared" ref="J79:W79" ca="1" si="32">J78/$B$78</f>
        <v>0.39377530518561121</v>
      </c>
      <c r="K79" s="106">
        <f t="shared" ca="1" si="32"/>
        <v>5.3327724355759963E-2</v>
      </c>
      <c r="L79" s="106">
        <f t="shared" ca="1" si="32"/>
        <v>5.9653153859019516E-3</v>
      </c>
      <c r="M79" s="106">
        <f t="shared" ca="1" si="32"/>
        <v>4.8145817414774352E-4</v>
      </c>
      <c r="N79" s="106">
        <f t="shared" ca="1" si="32"/>
        <v>1.3156231702426057E-2</v>
      </c>
      <c r="O79" s="106">
        <f t="shared" ca="1" si="32"/>
        <v>5.3513633759375408E-2</v>
      </c>
      <c r="P79" s="106">
        <f t="shared" ca="1" si="32"/>
        <v>1.6689741501670617E-3</v>
      </c>
      <c r="Q79" s="106">
        <f t="shared" ca="1" si="32"/>
        <v>4.813259392639798E-4</v>
      </c>
      <c r="R79" s="106">
        <f t="shared" ca="1" si="32"/>
        <v>4.1083694626243812E-3</v>
      </c>
      <c r="S79" s="106">
        <f t="shared" ca="1" si="32"/>
        <v>0.10301866363929531</v>
      </c>
      <c r="T79" s="106">
        <f t="shared" ca="1" si="32"/>
        <v>2.6741819422292444E-2</v>
      </c>
      <c r="U79" s="106">
        <f t="shared" ca="1" si="32"/>
        <v>4.4926929379654748E-3</v>
      </c>
      <c r="V79" s="106">
        <f t="shared" ca="1" si="32"/>
        <v>1.9855535613697912E-2</v>
      </c>
      <c r="W79" s="106">
        <f t="shared" ca="1" si="32"/>
        <v>7.1713745455118444E-3</v>
      </c>
    </row>
  </sheetData>
  <mergeCells count="1">
    <mergeCell ref="A78:A79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0B90-C373-413B-817B-23EC75BDA381}">
  <dimension ref="A1:G9"/>
  <sheetViews>
    <sheetView workbookViewId="0">
      <selection activeCell="F14" sqref="F14"/>
    </sheetView>
  </sheetViews>
  <sheetFormatPr defaultRowHeight="15" x14ac:dyDescent="0.25"/>
  <cols>
    <col min="2" max="7" width="18.42578125" customWidth="1"/>
  </cols>
  <sheetData>
    <row r="1" spans="1:7" ht="15.75" thickBot="1" x14ac:dyDescent="0.3">
      <c r="B1" s="402" t="s">
        <v>792</v>
      </c>
      <c r="C1" s="403"/>
      <c r="D1" s="403"/>
      <c r="E1" s="403"/>
      <c r="F1" s="404"/>
    </row>
    <row r="2" spans="1:7" ht="15.75" thickBot="1" x14ac:dyDescent="0.3">
      <c r="A2" s="114"/>
      <c r="B2" s="115" t="s">
        <v>777</v>
      </c>
      <c r="C2" s="116" t="s">
        <v>793</v>
      </c>
      <c r="D2" s="116" t="s">
        <v>794</v>
      </c>
      <c r="E2" s="116" t="s">
        <v>795</v>
      </c>
      <c r="F2" s="117" t="s">
        <v>790</v>
      </c>
      <c r="G2" s="145" t="s">
        <v>231</v>
      </c>
    </row>
    <row r="3" spans="1:7" x14ac:dyDescent="0.25">
      <c r="A3" s="137">
        <v>2019</v>
      </c>
      <c r="B3" s="128">
        <v>669305000</v>
      </c>
      <c r="C3" s="129">
        <v>124131000</v>
      </c>
      <c r="D3" s="129">
        <v>138456000</v>
      </c>
      <c r="E3" s="129">
        <v>445281000</v>
      </c>
      <c r="F3" s="143">
        <v>226514000</v>
      </c>
      <c r="G3" s="130">
        <v>1603687000</v>
      </c>
    </row>
    <row r="4" spans="1:7" x14ac:dyDescent="0.25">
      <c r="A4" s="138">
        <v>2020</v>
      </c>
      <c r="B4" s="127">
        <v>742919247.78999996</v>
      </c>
      <c r="C4" s="126">
        <v>136189629.43000001</v>
      </c>
      <c r="D4" s="126">
        <v>153592726.66999999</v>
      </c>
      <c r="E4" s="126">
        <v>461358587.59999996</v>
      </c>
      <c r="F4" s="144">
        <v>349553860.99000001</v>
      </c>
      <c r="G4" s="146">
        <v>1843614052.48</v>
      </c>
    </row>
    <row r="5" spans="1:7" ht="15.75" thickBot="1" x14ac:dyDescent="0.3">
      <c r="A5" s="139" t="s">
        <v>796</v>
      </c>
      <c r="B5" s="118">
        <v>827841578</v>
      </c>
      <c r="C5" s="119">
        <v>124652925</v>
      </c>
      <c r="D5" s="119">
        <v>149606447.80000001</v>
      </c>
      <c r="E5" s="119">
        <v>216578165.13</v>
      </c>
      <c r="F5" s="120">
        <v>127208962.20999999</v>
      </c>
      <c r="G5" s="121">
        <f>SUM(B5:F5)</f>
        <v>1445888078.1399999</v>
      </c>
    </row>
    <row r="6" spans="1:7" x14ac:dyDescent="0.25">
      <c r="A6" s="140">
        <v>2019</v>
      </c>
      <c r="B6" s="122">
        <v>0.41735388514092836</v>
      </c>
      <c r="C6" s="123">
        <v>7.7403508290582887E-2</v>
      </c>
      <c r="D6" s="123">
        <v>8.633604936624166E-2</v>
      </c>
      <c r="E6" s="123">
        <v>0.27766079041608493</v>
      </c>
      <c r="F6" s="124">
        <v>0.14124576678616213</v>
      </c>
      <c r="G6" s="125"/>
    </row>
    <row r="7" spans="1:7" x14ac:dyDescent="0.25">
      <c r="A7" s="141">
        <v>2020</v>
      </c>
      <c r="B7" s="135">
        <v>0.40296896565234841</v>
      </c>
      <c r="C7" s="131">
        <v>7.3871008548020076E-2</v>
      </c>
      <c r="D7" s="131">
        <v>8.3310672569125582E-2</v>
      </c>
      <c r="E7" s="131">
        <v>0.25024683825738248</v>
      </c>
      <c r="F7" s="132">
        <v>0.18960251497312344</v>
      </c>
      <c r="G7" s="125"/>
    </row>
    <row r="8" spans="1:7" ht="15.75" thickBot="1" x14ac:dyDescent="0.3">
      <c r="A8" s="142" t="s">
        <v>796</v>
      </c>
      <c r="B8" s="136">
        <f>B5/$G$5</f>
        <v>0.57254886496120849</v>
      </c>
      <c r="C8" s="133">
        <f>C5/$G$5</f>
        <v>8.6212015220676244E-2</v>
      </c>
      <c r="D8" s="133">
        <f>D5/$G$5</f>
        <v>0.10347028242494036</v>
      </c>
      <c r="E8" s="133">
        <f>E5/$G$5</f>
        <v>0.14978902475536529</v>
      </c>
      <c r="F8" s="134">
        <f>F5/$G$5</f>
        <v>8.797981263780974E-2</v>
      </c>
    </row>
    <row r="9" spans="1:7" x14ac:dyDescent="0.25">
      <c r="A9" t="s">
        <v>797</v>
      </c>
    </row>
  </sheetData>
  <mergeCells count="1">
    <mergeCell ref="B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29AC-6A87-464E-8F49-9F71F2D0EE17}">
  <dimension ref="A1:Q256"/>
  <sheetViews>
    <sheetView zoomScale="110" zoomScaleNormal="110" workbookViewId="0">
      <pane xSplit="9" ySplit="3" topLeftCell="J4" activePane="bottomRight" state="frozen"/>
      <selection pane="topRight" activeCell="H1" sqref="H1"/>
      <selection pane="bottomLeft" activeCell="A4" sqref="A4"/>
      <selection pane="bottomRight" activeCell="S4" sqref="S4"/>
    </sheetView>
  </sheetViews>
  <sheetFormatPr defaultRowHeight="15" x14ac:dyDescent="0.25"/>
  <cols>
    <col min="1" max="1" width="27.5703125" customWidth="1"/>
    <col min="4" max="4" width="14.85546875" customWidth="1"/>
    <col min="8" max="8" width="20.85546875" customWidth="1"/>
    <col min="12" max="12" width="12.5703125" customWidth="1"/>
    <col min="13" max="13" width="15.5703125" customWidth="1"/>
    <col min="14" max="14" width="12.5703125" customWidth="1"/>
    <col min="15" max="15" width="12" customWidth="1"/>
    <col min="16" max="16" width="15.5703125" customWidth="1"/>
    <col min="17" max="17" width="12.140625" customWidth="1"/>
  </cols>
  <sheetData>
    <row r="1" spans="1:17" ht="15.75" thickBot="1" x14ac:dyDescent="0.3">
      <c r="L1" s="355"/>
      <c r="M1" s="355"/>
      <c r="N1" s="355"/>
      <c r="O1" s="355"/>
      <c r="P1" s="355"/>
    </row>
    <row r="2" spans="1:17" ht="15.75" thickBot="1" x14ac:dyDescent="0.3">
      <c r="J2" s="380">
        <v>2024</v>
      </c>
      <c r="K2" s="381"/>
      <c r="L2" s="381"/>
      <c r="M2" s="381"/>
      <c r="N2" s="381"/>
      <c r="O2" s="381"/>
      <c r="P2" s="381"/>
      <c r="Q2" s="382"/>
    </row>
    <row r="3" spans="1:17" ht="54.75" customHeight="1" thickBot="1" x14ac:dyDescent="0.3">
      <c r="A3" s="323" t="s">
        <v>238</v>
      </c>
      <c r="B3" s="324" t="s">
        <v>2</v>
      </c>
      <c r="C3" s="324" t="s">
        <v>239</v>
      </c>
      <c r="D3" s="324" t="s">
        <v>1391</v>
      </c>
      <c r="E3" s="324" t="s">
        <v>1089</v>
      </c>
      <c r="F3" s="324" t="s">
        <v>240</v>
      </c>
      <c r="G3" s="324" t="s">
        <v>1090</v>
      </c>
      <c r="H3" s="324" t="s">
        <v>241</v>
      </c>
      <c r="I3" s="328" t="s">
        <v>242</v>
      </c>
      <c r="J3" s="342" t="s">
        <v>1247</v>
      </c>
      <c r="K3" s="325" t="s">
        <v>1248</v>
      </c>
      <c r="L3" s="326" t="s">
        <v>777</v>
      </c>
      <c r="M3" s="343" t="s">
        <v>1242</v>
      </c>
      <c r="N3" s="343" t="s">
        <v>1243</v>
      </c>
      <c r="O3" s="343" t="s">
        <v>1244</v>
      </c>
      <c r="P3" s="343" t="s">
        <v>1242</v>
      </c>
      <c r="Q3" s="327" t="s">
        <v>1399</v>
      </c>
    </row>
    <row r="4" spans="1:17" ht="70.5" customHeight="1" x14ac:dyDescent="0.25">
      <c r="A4" s="302" t="s">
        <v>266</v>
      </c>
      <c r="B4" s="303">
        <v>65635591</v>
      </c>
      <c r="C4" s="303" t="s">
        <v>267</v>
      </c>
      <c r="D4" s="303" t="s">
        <v>1272</v>
      </c>
      <c r="E4" s="303" t="s">
        <v>1201</v>
      </c>
      <c r="F4" s="303">
        <v>6552817</v>
      </c>
      <c r="G4" s="304" t="s">
        <v>1202</v>
      </c>
      <c r="H4" s="304" t="s">
        <v>268</v>
      </c>
      <c r="I4" s="329" t="s">
        <v>269</v>
      </c>
      <c r="J4" s="344">
        <v>5.9</v>
      </c>
      <c r="K4" s="345">
        <v>0</v>
      </c>
      <c r="L4" s="346">
        <v>3833820</v>
      </c>
      <c r="M4" s="346">
        <f>0</f>
        <v>0</v>
      </c>
      <c r="N4" s="346">
        <v>3833820</v>
      </c>
      <c r="O4" s="346">
        <v>385000</v>
      </c>
      <c r="P4" s="367">
        <f>0</f>
        <v>0</v>
      </c>
      <c r="Q4" s="352">
        <v>385000</v>
      </c>
    </row>
    <row r="5" spans="1:17" ht="70.5" customHeight="1" x14ac:dyDescent="0.25">
      <c r="A5" s="305" t="s">
        <v>266</v>
      </c>
      <c r="B5" s="306">
        <v>65635591</v>
      </c>
      <c r="C5" s="303" t="s">
        <v>267</v>
      </c>
      <c r="D5" s="303" t="s">
        <v>1272</v>
      </c>
      <c r="E5" s="306"/>
      <c r="F5" s="306">
        <v>4142726</v>
      </c>
      <c r="G5" s="307" t="s">
        <v>1161</v>
      </c>
      <c r="H5" s="307" t="s">
        <v>270</v>
      </c>
      <c r="I5" s="330" t="s">
        <v>271</v>
      </c>
      <c r="J5" s="305">
        <v>2.4500000000000002</v>
      </c>
      <c r="K5" s="307">
        <v>10</v>
      </c>
      <c r="L5" s="308">
        <v>0</v>
      </c>
      <c r="M5" s="308">
        <f>0</f>
        <v>0</v>
      </c>
      <c r="N5" s="308">
        <v>0</v>
      </c>
      <c r="O5" s="308">
        <v>266000</v>
      </c>
      <c r="P5" s="368">
        <f>0</f>
        <v>0</v>
      </c>
      <c r="Q5" s="353">
        <v>266000</v>
      </c>
    </row>
    <row r="6" spans="1:17" ht="70.5" customHeight="1" x14ac:dyDescent="0.25">
      <c r="A6" s="305" t="s">
        <v>266</v>
      </c>
      <c r="B6" s="306">
        <v>65635591</v>
      </c>
      <c r="C6" s="303" t="s">
        <v>267</v>
      </c>
      <c r="D6" s="303" t="s">
        <v>1272</v>
      </c>
      <c r="E6" s="306" t="s">
        <v>1118</v>
      </c>
      <c r="F6" s="306">
        <v>4853448</v>
      </c>
      <c r="G6" s="307" t="s">
        <v>1177</v>
      </c>
      <c r="H6" s="307" t="s">
        <v>277</v>
      </c>
      <c r="I6" s="330" t="s">
        <v>278</v>
      </c>
      <c r="J6" s="305">
        <v>8.35</v>
      </c>
      <c r="K6" s="307">
        <v>15</v>
      </c>
      <c r="L6" s="308">
        <v>0</v>
      </c>
      <c r="M6" s="308">
        <f>0</f>
        <v>0</v>
      </c>
      <c r="N6" s="308">
        <v>0</v>
      </c>
      <c r="O6" s="308">
        <v>905000</v>
      </c>
      <c r="P6" s="368">
        <f>0</f>
        <v>0</v>
      </c>
      <c r="Q6" s="353">
        <v>905000</v>
      </c>
    </row>
    <row r="7" spans="1:17" ht="70.5" customHeight="1" x14ac:dyDescent="0.25">
      <c r="A7" s="305" t="s">
        <v>280</v>
      </c>
      <c r="B7" s="309" t="s">
        <v>281</v>
      </c>
      <c r="C7" s="303" t="s">
        <v>282</v>
      </c>
      <c r="D7" s="303" t="s">
        <v>1273</v>
      </c>
      <c r="E7" s="309"/>
      <c r="F7" s="306">
        <v>9450189</v>
      </c>
      <c r="G7" s="307" t="s">
        <v>1173</v>
      </c>
      <c r="H7" s="307" t="s">
        <v>283</v>
      </c>
      <c r="I7" s="330" t="s">
        <v>278</v>
      </c>
      <c r="J7" s="305">
        <v>6.45</v>
      </c>
      <c r="K7" s="307">
        <v>6</v>
      </c>
      <c r="L7" s="308">
        <v>3024000</v>
      </c>
      <c r="M7" s="308">
        <f>0</f>
        <v>0</v>
      </c>
      <c r="N7" s="308">
        <v>3024000</v>
      </c>
      <c r="O7" s="308">
        <v>200000</v>
      </c>
      <c r="P7" s="368">
        <f>0</f>
        <v>0</v>
      </c>
      <c r="Q7" s="353">
        <v>200000</v>
      </c>
    </row>
    <row r="8" spans="1:17" ht="70.5" customHeight="1" x14ac:dyDescent="0.25">
      <c r="A8" s="305" t="s">
        <v>280</v>
      </c>
      <c r="B8" s="309" t="s">
        <v>281</v>
      </c>
      <c r="C8" s="303" t="s">
        <v>282</v>
      </c>
      <c r="D8" s="303" t="s">
        <v>1273</v>
      </c>
      <c r="E8" s="309"/>
      <c r="F8" s="306">
        <v>4530859</v>
      </c>
      <c r="G8" s="307" t="s">
        <v>1173</v>
      </c>
      <c r="H8" s="307" t="s">
        <v>285</v>
      </c>
      <c r="I8" s="330" t="s">
        <v>278</v>
      </c>
      <c r="J8" s="305">
        <v>18</v>
      </c>
      <c r="K8" s="307">
        <v>30</v>
      </c>
      <c r="L8" s="308">
        <v>6108695</v>
      </c>
      <c r="M8" s="308">
        <f>0</f>
        <v>0</v>
      </c>
      <c r="N8" s="308">
        <v>6108695</v>
      </c>
      <c r="O8" s="308">
        <v>300000</v>
      </c>
      <c r="P8" s="368">
        <f>0</f>
        <v>0</v>
      </c>
      <c r="Q8" s="353">
        <v>300000</v>
      </c>
    </row>
    <row r="9" spans="1:17" ht="70.5" customHeight="1" x14ac:dyDescent="0.25">
      <c r="A9" s="305" t="s">
        <v>287</v>
      </c>
      <c r="B9" s="306">
        <v>44224711</v>
      </c>
      <c r="C9" s="303" t="s">
        <v>288</v>
      </c>
      <c r="D9" s="303" t="s">
        <v>1275</v>
      </c>
      <c r="E9" s="306"/>
      <c r="F9" s="306">
        <v>5293571</v>
      </c>
      <c r="G9" s="307" t="s">
        <v>1186</v>
      </c>
      <c r="H9" s="307" t="s">
        <v>289</v>
      </c>
      <c r="I9" s="330" t="s">
        <v>269</v>
      </c>
      <c r="J9" s="305">
        <v>6.6</v>
      </c>
      <c r="K9" s="307">
        <v>0</v>
      </c>
      <c r="L9" s="308">
        <v>3478983</v>
      </c>
      <c r="M9" s="308">
        <f>0</f>
        <v>0</v>
      </c>
      <c r="N9" s="308">
        <v>3478983</v>
      </c>
      <c r="O9" s="308">
        <v>220000</v>
      </c>
      <c r="P9" s="368">
        <f>0</f>
        <v>0</v>
      </c>
      <c r="Q9" s="353">
        <v>220000</v>
      </c>
    </row>
    <row r="10" spans="1:17" ht="70.5" customHeight="1" x14ac:dyDescent="0.25">
      <c r="A10" s="305" t="s">
        <v>291</v>
      </c>
      <c r="B10" s="309" t="s">
        <v>292</v>
      </c>
      <c r="C10" s="303" t="s">
        <v>267</v>
      </c>
      <c r="D10" s="303" t="s">
        <v>1387</v>
      </c>
      <c r="E10" s="309" t="s">
        <v>1118</v>
      </c>
      <c r="F10" s="306">
        <v>8384795</v>
      </c>
      <c r="G10" s="307" t="s">
        <v>1216</v>
      </c>
      <c r="H10" s="307" t="s">
        <v>293</v>
      </c>
      <c r="I10" s="330" t="s">
        <v>294</v>
      </c>
      <c r="J10" s="305">
        <v>5.04</v>
      </c>
      <c r="K10" s="307">
        <v>0</v>
      </c>
      <c r="L10" s="308">
        <v>0</v>
      </c>
      <c r="M10" s="308">
        <f>0</f>
        <v>0</v>
      </c>
      <c r="N10" s="308">
        <v>0</v>
      </c>
      <c r="O10" s="308">
        <v>253000</v>
      </c>
      <c r="P10" s="368">
        <f>0</f>
        <v>0</v>
      </c>
      <c r="Q10" s="353">
        <v>253000</v>
      </c>
    </row>
    <row r="11" spans="1:17" ht="70.5" customHeight="1" x14ac:dyDescent="0.25">
      <c r="A11" s="305" t="s">
        <v>295</v>
      </c>
      <c r="B11" s="306">
        <v>71220071</v>
      </c>
      <c r="C11" s="303" t="s">
        <v>296</v>
      </c>
      <c r="D11" s="303" t="s">
        <v>1278</v>
      </c>
      <c r="E11" s="306" t="s">
        <v>1101</v>
      </c>
      <c r="F11" s="306">
        <v>3190180</v>
      </c>
      <c r="G11" s="307" t="s">
        <v>1142</v>
      </c>
      <c r="H11" s="307" t="s">
        <v>297</v>
      </c>
      <c r="I11" s="330" t="s">
        <v>269</v>
      </c>
      <c r="J11" s="305">
        <v>5.9</v>
      </c>
      <c r="K11" s="307">
        <v>0</v>
      </c>
      <c r="L11" s="308">
        <v>3358044</v>
      </c>
      <c r="M11" s="308">
        <f>0</f>
        <v>0</v>
      </c>
      <c r="N11" s="308">
        <v>3358044</v>
      </c>
      <c r="O11" s="308">
        <v>0</v>
      </c>
      <c r="P11" s="368">
        <f>0</f>
        <v>0</v>
      </c>
      <c r="Q11" s="353">
        <v>0</v>
      </c>
    </row>
    <row r="12" spans="1:17" ht="70.5" customHeight="1" x14ac:dyDescent="0.25">
      <c r="A12" s="305" t="s">
        <v>295</v>
      </c>
      <c r="B12" s="306">
        <v>71220071</v>
      </c>
      <c r="C12" s="303" t="s">
        <v>296</v>
      </c>
      <c r="D12" s="303" t="s">
        <v>1278</v>
      </c>
      <c r="E12" s="306" t="s">
        <v>1101</v>
      </c>
      <c r="F12" s="306">
        <v>4094333</v>
      </c>
      <c r="G12" s="307" t="s">
        <v>1114</v>
      </c>
      <c r="H12" s="307" t="s">
        <v>298</v>
      </c>
      <c r="I12" s="330" t="s">
        <v>278</v>
      </c>
      <c r="J12" s="305">
        <v>37.6</v>
      </c>
      <c r="K12" s="307">
        <v>27</v>
      </c>
      <c r="L12" s="308">
        <v>9590996</v>
      </c>
      <c r="M12" s="308">
        <f>0</f>
        <v>0</v>
      </c>
      <c r="N12" s="308">
        <v>9590996</v>
      </c>
      <c r="O12" s="308">
        <v>0</v>
      </c>
      <c r="P12" s="368">
        <f>0</f>
        <v>0</v>
      </c>
      <c r="Q12" s="353">
        <v>0</v>
      </c>
    </row>
    <row r="13" spans="1:17" ht="70.5" customHeight="1" x14ac:dyDescent="0.25">
      <c r="A13" s="313" t="s">
        <v>299</v>
      </c>
      <c r="B13" s="306">
        <v>47607483</v>
      </c>
      <c r="C13" s="303" t="s">
        <v>288</v>
      </c>
      <c r="D13" s="303" t="s">
        <v>1388</v>
      </c>
      <c r="E13" s="306" t="s">
        <v>1118</v>
      </c>
      <c r="F13" s="306">
        <v>9015328</v>
      </c>
      <c r="G13" s="307" t="s">
        <v>1226</v>
      </c>
      <c r="H13" s="307" t="s">
        <v>268</v>
      </c>
      <c r="I13" s="330" t="s">
        <v>300</v>
      </c>
      <c r="J13" s="305">
        <v>0.8</v>
      </c>
      <c r="K13" s="307">
        <v>0</v>
      </c>
      <c r="L13" s="308">
        <v>0</v>
      </c>
      <c r="M13" s="308">
        <f>0</f>
        <v>0</v>
      </c>
      <c r="N13" s="308">
        <v>0</v>
      </c>
      <c r="O13" s="308">
        <v>0</v>
      </c>
      <c r="P13" s="368">
        <f>0</f>
        <v>0</v>
      </c>
      <c r="Q13" s="353">
        <v>0</v>
      </c>
    </row>
    <row r="14" spans="1:17" ht="70.5" customHeight="1" x14ac:dyDescent="0.25">
      <c r="A14" s="313" t="s">
        <v>126</v>
      </c>
      <c r="B14" s="309" t="s">
        <v>301</v>
      </c>
      <c r="C14" s="303" t="s">
        <v>302</v>
      </c>
      <c r="D14" s="303" t="s">
        <v>1279</v>
      </c>
      <c r="E14" s="309"/>
      <c r="F14" s="306">
        <v>7885329</v>
      </c>
      <c r="G14" s="307" t="s">
        <v>1120</v>
      </c>
      <c r="H14" s="307" t="s">
        <v>289</v>
      </c>
      <c r="I14" s="330" t="s">
        <v>269</v>
      </c>
      <c r="J14" s="305">
        <v>5.3</v>
      </c>
      <c r="K14" s="307">
        <v>0</v>
      </c>
      <c r="L14" s="308">
        <v>3967891</v>
      </c>
      <c r="M14" s="308">
        <f>0</f>
        <v>0</v>
      </c>
      <c r="N14" s="308">
        <v>3967891</v>
      </c>
      <c r="O14" s="308">
        <v>424000</v>
      </c>
      <c r="P14" s="368">
        <f>0</f>
        <v>0</v>
      </c>
      <c r="Q14" s="353">
        <v>424000</v>
      </c>
    </row>
    <row r="15" spans="1:17" ht="70.5" customHeight="1" x14ac:dyDescent="0.25">
      <c r="A15" s="305" t="s">
        <v>303</v>
      </c>
      <c r="B15" s="306">
        <v>70868476</v>
      </c>
      <c r="C15" s="303" t="s">
        <v>296</v>
      </c>
      <c r="D15" s="303" t="s">
        <v>1280</v>
      </c>
      <c r="E15" s="306" t="s">
        <v>1101</v>
      </c>
      <c r="F15" s="306">
        <v>2632467</v>
      </c>
      <c r="G15" s="307" t="s">
        <v>1129</v>
      </c>
      <c r="H15" s="307" t="s">
        <v>268</v>
      </c>
      <c r="I15" s="330" t="s">
        <v>269</v>
      </c>
      <c r="J15" s="305">
        <v>18.95</v>
      </c>
      <c r="K15" s="307">
        <v>0</v>
      </c>
      <c r="L15" s="308">
        <v>9708340</v>
      </c>
      <c r="M15" s="308">
        <v>486698</v>
      </c>
      <c r="N15" s="308">
        <v>9221642</v>
      </c>
      <c r="O15" s="308">
        <v>0</v>
      </c>
      <c r="P15" s="368">
        <f>0</f>
        <v>0</v>
      </c>
      <c r="Q15" s="353">
        <v>0</v>
      </c>
    </row>
    <row r="16" spans="1:17" ht="70.5" customHeight="1" x14ac:dyDescent="0.25">
      <c r="A16" s="305" t="s">
        <v>303</v>
      </c>
      <c r="B16" s="306">
        <v>70868476</v>
      </c>
      <c r="C16" s="303" t="s">
        <v>296</v>
      </c>
      <c r="D16" s="303" t="s">
        <v>1280</v>
      </c>
      <c r="E16" s="306" t="s">
        <v>1101</v>
      </c>
      <c r="F16" s="306">
        <v>5393471</v>
      </c>
      <c r="G16" s="307" t="s">
        <v>1190</v>
      </c>
      <c r="H16" s="307" t="s">
        <v>304</v>
      </c>
      <c r="I16" s="330" t="s">
        <v>294</v>
      </c>
      <c r="J16" s="305">
        <v>5.35</v>
      </c>
      <c r="K16" s="307">
        <v>0</v>
      </c>
      <c r="L16" s="308">
        <v>3222800</v>
      </c>
      <c r="M16" s="308">
        <f>0</f>
        <v>0</v>
      </c>
      <c r="N16" s="308">
        <v>3222800</v>
      </c>
      <c r="O16" s="308">
        <v>0</v>
      </c>
      <c r="P16" s="368">
        <f>0</f>
        <v>0</v>
      </c>
      <c r="Q16" s="353">
        <v>0</v>
      </c>
    </row>
    <row r="17" spans="1:17" ht="70.5" customHeight="1" x14ac:dyDescent="0.25">
      <c r="A17" s="305" t="s">
        <v>303</v>
      </c>
      <c r="B17" s="306">
        <v>70868476</v>
      </c>
      <c r="C17" s="303" t="s">
        <v>296</v>
      </c>
      <c r="D17" s="303" t="s">
        <v>1280</v>
      </c>
      <c r="E17" s="306" t="s">
        <v>1101</v>
      </c>
      <c r="F17" s="306">
        <v>1701584</v>
      </c>
      <c r="G17" s="307" t="s">
        <v>1110</v>
      </c>
      <c r="H17" s="307" t="s">
        <v>495</v>
      </c>
      <c r="I17" s="330" t="s">
        <v>300</v>
      </c>
      <c r="J17" s="305">
        <v>2</v>
      </c>
      <c r="K17" s="307">
        <v>0</v>
      </c>
      <c r="L17" s="308">
        <v>1455600</v>
      </c>
      <c r="M17" s="308">
        <f>0</f>
        <v>0</v>
      </c>
      <c r="N17" s="308">
        <v>1455600</v>
      </c>
      <c r="O17" s="308">
        <v>0</v>
      </c>
      <c r="P17" s="368">
        <f>0</f>
        <v>0</v>
      </c>
      <c r="Q17" s="353">
        <v>0</v>
      </c>
    </row>
    <row r="18" spans="1:17" ht="70.5" customHeight="1" x14ac:dyDescent="0.25">
      <c r="A18" s="305" t="s">
        <v>75</v>
      </c>
      <c r="B18" s="306">
        <v>28731191</v>
      </c>
      <c r="C18" s="303" t="s">
        <v>267</v>
      </c>
      <c r="D18" s="303" t="s">
        <v>1281</v>
      </c>
      <c r="E18" s="306"/>
      <c r="F18" s="306">
        <v>3959325</v>
      </c>
      <c r="G18" s="307" t="s">
        <v>75</v>
      </c>
      <c r="H18" s="307" t="s">
        <v>313</v>
      </c>
      <c r="I18" s="330" t="s">
        <v>300</v>
      </c>
      <c r="J18" s="305">
        <v>12.1</v>
      </c>
      <c r="K18" s="307">
        <v>0</v>
      </c>
      <c r="L18" s="308">
        <v>11107800</v>
      </c>
      <c r="M18" s="308">
        <f>0</f>
        <v>0</v>
      </c>
      <c r="N18" s="308">
        <v>11107800</v>
      </c>
      <c r="O18" s="308">
        <v>700000</v>
      </c>
      <c r="P18" s="368">
        <f>0</f>
        <v>0</v>
      </c>
      <c r="Q18" s="353">
        <v>700000</v>
      </c>
    </row>
    <row r="19" spans="1:17" ht="70.5" customHeight="1" x14ac:dyDescent="0.25">
      <c r="A19" s="305" t="s">
        <v>75</v>
      </c>
      <c r="B19" s="306">
        <v>28731191</v>
      </c>
      <c r="C19" s="303" t="s">
        <v>267</v>
      </c>
      <c r="D19" s="303" t="s">
        <v>1281</v>
      </c>
      <c r="E19" s="306"/>
      <c r="F19" s="306">
        <v>4823957</v>
      </c>
      <c r="G19" s="307" t="s">
        <v>75</v>
      </c>
      <c r="H19" s="307" t="s">
        <v>314</v>
      </c>
      <c r="I19" s="330" t="s">
        <v>300</v>
      </c>
      <c r="J19" s="305">
        <v>10.7</v>
      </c>
      <c r="K19" s="307">
        <v>0</v>
      </c>
      <c r="L19" s="308">
        <v>8667000</v>
      </c>
      <c r="M19" s="308">
        <f>0</f>
        <v>0</v>
      </c>
      <c r="N19" s="308">
        <v>8667000</v>
      </c>
      <c r="O19" s="308">
        <v>700000</v>
      </c>
      <c r="P19" s="368">
        <f>0</f>
        <v>0</v>
      </c>
      <c r="Q19" s="353">
        <v>700000</v>
      </c>
    </row>
    <row r="20" spans="1:17" ht="70.5" customHeight="1" x14ac:dyDescent="0.25">
      <c r="A20" s="305" t="s">
        <v>316</v>
      </c>
      <c r="B20" s="309" t="s">
        <v>317</v>
      </c>
      <c r="C20" s="303" t="s">
        <v>318</v>
      </c>
      <c r="D20" s="303" t="s">
        <v>1389</v>
      </c>
      <c r="E20" s="309" t="s">
        <v>1118</v>
      </c>
      <c r="F20" s="306">
        <v>5002625</v>
      </c>
      <c r="G20" s="307" t="s">
        <v>1180</v>
      </c>
      <c r="H20" s="307" t="s">
        <v>313</v>
      </c>
      <c r="I20" s="330" t="s">
        <v>300</v>
      </c>
      <c r="J20" s="305">
        <v>0.36</v>
      </c>
      <c r="K20" s="307">
        <v>0</v>
      </c>
      <c r="L20" s="308">
        <v>0</v>
      </c>
      <c r="M20" s="308">
        <f>0</f>
        <v>0</v>
      </c>
      <c r="N20" s="308">
        <v>0</v>
      </c>
      <c r="O20" s="308">
        <v>40000</v>
      </c>
      <c r="P20" s="368">
        <f>0</f>
        <v>0</v>
      </c>
      <c r="Q20" s="353">
        <v>40000</v>
      </c>
    </row>
    <row r="21" spans="1:17" ht="70.5" customHeight="1" x14ac:dyDescent="0.25">
      <c r="A21" s="305" t="s">
        <v>319</v>
      </c>
      <c r="B21" s="309" t="s">
        <v>320</v>
      </c>
      <c r="C21" s="303" t="s">
        <v>318</v>
      </c>
      <c r="D21" s="303" t="s">
        <v>1390</v>
      </c>
      <c r="E21" s="309" t="s">
        <v>1118</v>
      </c>
      <c r="F21" s="306">
        <v>3364695</v>
      </c>
      <c r="G21" s="307" t="s">
        <v>1143</v>
      </c>
      <c r="H21" s="307" t="s">
        <v>268</v>
      </c>
      <c r="I21" s="330" t="s">
        <v>300</v>
      </c>
      <c r="J21" s="305">
        <v>2</v>
      </c>
      <c r="K21" s="307">
        <v>0</v>
      </c>
      <c r="L21" s="308">
        <v>0</v>
      </c>
      <c r="M21" s="308">
        <f>0</f>
        <v>0</v>
      </c>
      <c r="N21" s="308">
        <v>0</v>
      </c>
      <c r="O21" s="308">
        <v>131000</v>
      </c>
      <c r="P21" s="368">
        <f>0</f>
        <v>0</v>
      </c>
      <c r="Q21" s="353">
        <v>131000</v>
      </c>
    </row>
    <row r="22" spans="1:17" ht="70.5" customHeight="1" x14ac:dyDescent="0.25">
      <c r="A22" s="305" t="s">
        <v>33</v>
      </c>
      <c r="B22" s="306">
        <v>26593980</v>
      </c>
      <c r="C22" s="303" t="s">
        <v>318</v>
      </c>
      <c r="D22" s="303" t="s">
        <v>1282</v>
      </c>
      <c r="E22" s="306"/>
      <c r="F22" s="306">
        <v>1840164</v>
      </c>
      <c r="G22" s="307" t="s">
        <v>1113</v>
      </c>
      <c r="H22" s="307" t="s">
        <v>268</v>
      </c>
      <c r="I22" s="330" t="s">
        <v>300</v>
      </c>
      <c r="J22" s="305">
        <v>0.3</v>
      </c>
      <c r="K22" s="307">
        <v>0</v>
      </c>
      <c r="L22" s="308">
        <v>194940</v>
      </c>
      <c r="M22" s="308">
        <f>0</f>
        <v>0</v>
      </c>
      <c r="N22" s="308">
        <v>194940</v>
      </c>
      <c r="O22" s="308">
        <v>0</v>
      </c>
      <c r="P22" s="368">
        <f>0</f>
        <v>0</v>
      </c>
      <c r="Q22" s="353">
        <v>0</v>
      </c>
    </row>
    <row r="23" spans="1:17" ht="70.5" customHeight="1" x14ac:dyDescent="0.25">
      <c r="A23" s="305" t="s">
        <v>33</v>
      </c>
      <c r="B23" s="306">
        <v>26593980</v>
      </c>
      <c r="C23" s="303" t="s">
        <v>318</v>
      </c>
      <c r="D23" s="303" t="s">
        <v>1282</v>
      </c>
      <c r="E23" s="306"/>
      <c r="F23" s="306">
        <v>4148036</v>
      </c>
      <c r="G23" s="307" t="s">
        <v>1162</v>
      </c>
      <c r="H23" s="307" t="s">
        <v>268</v>
      </c>
      <c r="I23" s="330" t="s">
        <v>300</v>
      </c>
      <c r="J23" s="305">
        <v>0.2</v>
      </c>
      <c r="K23" s="307">
        <v>0</v>
      </c>
      <c r="L23" s="308">
        <v>129960</v>
      </c>
      <c r="M23" s="308">
        <f>0</f>
        <v>0</v>
      </c>
      <c r="N23" s="308">
        <v>129960</v>
      </c>
      <c r="O23" s="308">
        <v>0</v>
      </c>
      <c r="P23" s="368">
        <f>0</f>
        <v>0</v>
      </c>
      <c r="Q23" s="353">
        <v>0</v>
      </c>
    </row>
    <row r="24" spans="1:17" ht="70.5" customHeight="1" x14ac:dyDescent="0.25">
      <c r="A24" s="305" t="s">
        <v>33</v>
      </c>
      <c r="B24" s="306">
        <v>26593980</v>
      </c>
      <c r="C24" s="303" t="s">
        <v>318</v>
      </c>
      <c r="D24" s="303" t="s">
        <v>1282</v>
      </c>
      <c r="E24" s="306"/>
      <c r="F24" s="306">
        <v>5451090</v>
      </c>
      <c r="G24" s="307" t="s">
        <v>1191</v>
      </c>
      <c r="H24" s="307" t="s">
        <v>268</v>
      </c>
      <c r="I24" s="330" t="s">
        <v>300</v>
      </c>
      <c r="J24" s="305">
        <v>0.2</v>
      </c>
      <c r="K24" s="307">
        <v>0</v>
      </c>
      <c r="L24" s="308">
        <v>129960</v>
      </c>
      <c r="M24" s="308">
        <f>0</f>
        <v>0</v>
      </c>
      <c r="N24" s="308">
        <v>129960</v>
      </c>
      <c r="O24" s="308">
        <v>0</v>
      </c>
      <c r="P24" s="368">
        <f>0</f>
        <v>0</v>
      </c>
      <c r="Q24" s="353">
        <v>0</v>
      </c>
    </row>
    <row r="25" spans="1:17" ht="70.5" customHeight="1" x14ac:dyDescent="0.25">
      <c r="A25" s="305" t="s">
        <v>33</v>
      </c>
      <c r="B25" s="306">
        <v>26593980</v>
      </c>
      <c r="C25" s="303" t="s">
        <v>318</v>
      </c>
      <c r="D25" s="303" t="s">
        <v>1282</v>
      </c>
      <c r="E25" s="306"/>
      <c r="F25" s="306">
        <v>9725207</v>
      </c>
      <c r="G25" s="307" t="s">
        <v>1236</v>
      </c>
      <c r="H25" s="307" t="s">
        <v>268</v>
      </c>
      <c r="I25" s="330" t="s">
        <v>300</v>
      </c>
      <c r="J25" s="305">
        <v>0.2</v>
      </c>
      <c r="K25" s="307">
        <v>0</v>
      </c>
      <c r="L25" s="308">
        <v>129960</v>
      </c>
      <c r="M25" s="308">
        <f>0</f>
        <v>0</v>
      </c>
      <c r="N25" s="308">
        <v>129960</v>
      </c>
      <c r="O25" s="308">
        <v>0</v>
      </c>
      <c r="P25" s="368">
        <f>0</f>
        <v>0</v>
      </c>
      <c r="Q25" s="353">
        <v>0</v>
      </c>
    </row>
    <row r="26" spans="1:17" ht="70.5" customHeight="1" x14ac:dyDescent="0.25">
      <c r="A26" s="305" t="s">
        <v>33</v>
      </c>
      <c r="B26" s="306">
        <v>26593980</v>
      </c>
      <c r="C26" s="303" t="s">
        <v>318</v>
      </c>
      <c r="D26" s="303" t="s">
        <v>1282</v>
      </c>
      <c r="E26" s="306"/>
      <c r="F26" s="306">
        <v>3852372</v>
      </c>
      <c r="G26" s="307" t="s">
        <v>1156</v>
      </c>
      <c r="H26" s="307" t="s">
        <v>321</v>
      </c>
      <c r="I26" s="330" t="s">
        <v>294</v>
      </c>
      <c r="J26" s="305">
        <v>11.05</v>
      </c>
      <c r="K26" s="307">
        <v>0</v>
      </c>
      <c r="L26" s="308">
        <v>7293000</v>
      </c>
      <c r="M26" s="308">
        <f>0</f>
        <v>0</v>
      </c>
      <c r="N26" s="308">
        <v>7293000</v>
      </c>
      <c r="O26" s="308">
        <v>554000</v>
      </c>
      <c r="P26" s="368">
        <f>0</f>
        <v>0</v>
      </c>
      <c r="Q26" s="353">
        <v>554000</v>
      </c>
    </row>
    <row r="27" spans="1:17" ht="70.5" customHeight="1" x14ac:dyDescent="0.25">
      <c r="A27" s="305" t="s">
        <v>33</v>
      </c>
      <c r="B27" s="306">
        <v>26593980</v>
      </c>
      <c r="C27" s="303" t="s">
        <v>318</v>
      </c>
      <c r="D27" s="303" t="s">
        <v>1282</v>
      </c>
      <c r="E27" s="306"/>
      <c r="F27" s="306">
        <v>7135154</v>
      </c>
      <c r="G27" s="307" t="s">
        <v>1210</v>
      </c>
      <c r="H27" s="307" t="s">
        <v>321</v>
      </c>
      <c r="I27" s="330" t="s">
        <v>294</v>
      </c>
      <c r="J27" s="305">
        <v>7.3</v>
      </c>
      <c r="K27" s="307">
        <v>0</v>
      </c>
      <c r="L27" s="308">
        <v>4818000</v>
      </c>
      <c r="M27" s="308">
        <f>0</f>
        <v>0</v>
      </c>
      <c r="N27" s="308">
        <v>4818000</v>
      </c>
      <c r="O27" s="308">
        <v>366000</v>
      </c>
      <c r="P27" s="368">
        <f>0</f>
        <v>0</v>
      </c>
      <c r="Q27" s="353">
        <v>366000</v>
      </c>
    </row>
    <row r="28" spans="1:17" ht="70.5" customHeight="1" x14ac:dyDescent="0.25">
      <c r="A28" s="305" t="s">
        <v>33</v>
      </c>
      <c r="B28" s="306">
        <v>26593980</v>
      </c>
      <c r="C28" s="303" t="s">
        <v>318</v>
      </c>
      <c r="D28" s="303" t="s">
        <v>1282</v>
      </c>
      <c r="E28" s="306"/>
      <c r="F28" s="306">
        <v>7559709</v>
      </c>
      <c r="G28" s="307" t="s">
        <v>1213</v>
      </c>
      <c r="H28" s="307" t="s">
        <v>321</v>
      </c>
      <c r="I28" s="330" t="s">
        <v>294</v>
      </c>
      <c r="J28" s="305">
        <v>17</v>
      </c>
      <c r="K28" s="307">
        <v>0</v>
      </c>
      <c r="L28" s="308">
        <v>11220000</v>
      </c>
      <c r="M28" s="308">
        <f>0</f>
        <v>0</v>
      </c>
      <c r="N28" s="308">
        <v>11220000</v>
      </c>
      <c r="O28" s="308">
        <v>852000</v>
      </c>
      <c r="P28" s="368">
        <f>0</f>
        <v>0</v>
      </c>
      <c r="Q28" s="353">
        <v>852000</v>
      </c>
    </row>
    <row r="29" spans="1:17" ht="70.5" customHeight="1" x14ac:dyDescent="0.25">
      <c r="A29" s="305" t="s">
        <v>33</v>
      </c>
      <c r="B29" s="306">
        <v>26593980</v>
      </c>
      <c r="C29" s="303" t="s">
        <v>318</v>
      </c>
      <c r="D29" s="303" t="s">
        <v>1282</v>
      </c>
      <c r="E29" s="306"/>
      <c r="F29" s="306">
        <v>9349276</v>
      </c>
      <c r="G29" s="307" t="s">
        <v>1232</v>
      </c>
      <c r="H29" s="307" t="s">
        <v>321</v>
      </c>
      <c r="I29" s="330" t="s">
        <v>294</v>
      </c>
      <c r="J29" s="305">
        <v>10.3</v>
      </c>
      <c r="K29" s="307">
        <v>0</v>
      </c>
      <c r="L29" s="308">
        <v>6798000</v>
      </c>
      <c r="M29" s="308">
        <f>0</f>
        <v>0</v>
      </c>
      <c r="N29" s="308">
        <v>6798000</v>
      </c>
      <c r="O29" s="308">
        <v>516000</v>
      </c>
      <c r="P29" s="368">
        <f>0</f>
        <v>0</v>
      </c>
      <c r="Q29" s="353">
        <v>516000</v>
      </c>
    </row>
    <row r="30" spans="1:17" ht="70.5" customHeight="1" x14ac:dyDescent="0.25">
      <c r="A30" s="305" t="s">
        <v>33</v>
      </c>
      <c r="B30" s="306">
        <v>26593980</v>
      </c>
      <c r="C30" s="303" t="s">
        <v>318</v>
      </c>
      <c r="D30" s="303" t="s">
        <v>1282</v>
      </c>
      <c r="E30" s="306"/>
      <c r="F30" s="306">
        <v>1656576</v>
      </c>
      <c r="G30" s="307" t="s">
        <v>1108</v>
      </c>
      <c r="H30" s="307" t="s">
        <v>283</v>
      </c>
      <c r="I30" s="330" t="s">
        <v>294</v>
      </c>
      <c r="J30" s="305">
        <v>2.8</v>
      </c>
      <c r="K30" s="307">
        <v>0</v>
      </c>
      <c r="L30" s="308">
        <v>2049600</v>
      </c>
      <c r="M30" s="308">
        <f>0</f>
        <v>0</v>
      </c>
      <c r="N30" s="308">
        <v>2049600</v>
      </c>
      <c r="O30" s="308">
        <v>140000</v>
      </c>
      <c r="P30" s="368">
        <f>0</f>
        <v>0</v>
      </c>
      <c r="Q30" s="353">
        <v>140000</v>
      </c>
    </row>
    <row r="31" spans="1:17" ht="70.5" customHeight="1" x14ac:dyDescent="0.25">
      <c r="A31" s="305" t="s">
        <v>33</v>
      </c>
      <c r="B31" s="306">
        <v>26593980</v>
      </c>
      <c r="C31" s="303" t="s">
        <v>318</v>
      </c>
      <c r="D31" s="303" t="s">
        <v>1282</v>
      </c>
      <c r="E31" s="306"/>
      <c r="F31" s="306">
        <v>2164863</v>
      </c>
      <c r="G31" s="307" t="s">
        <v>1117</v>
      </c>
      <c r="H31" s="307" t="s">
        <v>283</v>
      </c>
      <c r="I31" s="330" t="s">
        <v>294</v>
      </c>
      <c r="J31" s="305">
        <v>1.7</v>
      </c>
      <c r="K31" s="307">
        <v>0</v>
      </c>
      <c r="L31" s="308">
        <v>1191504</v>
      </c>
      <c r="M31" s="308">
        <f>0</f>
        <v>0</v>
      </c>
      <c r="N31" s="308">
        <v>1191504</v>
      </c>
      <c r="O31" s="308">
        <v>85000</v>
      </c>
      <c r="P31" s="368">
        <f>0</f>
        <v>0</v>
      </c>
      <c r="Q31" s="353">
        <v>85000</v>
      </c>
    </row>
    <row r="32" spans="1:17" ht="70.5" customHeight="1" x14ac:dyDescent="0.25">
      <c r="A32" s="305" t="s">
        <v>33</v>
      </c>
      <c r="B32" s="306">
        <v>26593980</v>
      </c>
      <c r="C32" s="303" t="s">
        <v>318</v>
      </c>
      <c r="D32" s="303" t="s">
        <v>1282</v>
      </c>
      <c r="E32" s="306"/>
      <c r="F32" s="306">
        <v>5362299</v>
      </c>
      <c r="G32" s="307" t="s">
        <v>1188</v>
      </c>
      <c r="H32" s="307" t="s">
        <v>283</v>
      </c>
      <c r="I32" s="330" t="s">
        <v>294</v>
      </c>
      <c r="J32" s="305">
        <v>1.7</v>
      </c>
      <c r="K32" s="307">
        <v>0</v>
      </c>
      <c r="L32" s="308">
        <v>1203504</v>
      </c>
      <c r="M32" s="308">
        <f>0</f>
        <v>0</v>
      </c>
      <c r="N32" s="308">
        <v>1203504</v>
      </c>
      <c r="O32" s="308">
        <v>85000</v>
      </c>
      <c r="P32" s="368">
        <f>0</f>
        <v>0</v>
      </c>
      <c r="Q32" s="353">
        <v>85000</v>
      </c>
    </row>
    <row r="33" spans="1:17" ht="70.5" customHeight="1" x14ac:dyDescent="0.25">
      <c r="A33" s="305" t="s">
        <v>33</v>
      </c>
      <c r="B33" s="306">
        <v>26593980</v>
      </c>
      <c r="C33" s="303" t="s">
        <v>318</v>
      </c>
      <c r="D33" s="303" t="s">
        <v>1282</v>
      </c>
      <c r="E33" s="306"/>
      <c r="F33" s="306">
        <v>6806376</v>
      </c>
      <c r="G33" s="307" t="s">
        <v>1206</v>
      </c>
      <c r="H33" s="307" t="s">
        <v>283</v>
      </c>
      <c r="I33" s="330" t="s">
        <v>294</v>
      </c>
      <c r="J33" s="305">
        <v>1.7</v>
      </c>
      <c r="K33" s="307">
        <v>0</v>
      </c>
      <c r="L33" s="308">
        <v>1244400</v>
      </c>
      <c r="M33" s="308">
        <f>0</f>
        <v>0</v>
      </c>
      <c r="N33" s="308">
        <v>1244400</v>
      </c>
      <c r="O33" s="308">
        <v>85000</v>
      </c>
      <c r="P33" s="368">
        <f>0</f>
        <v>0</v>
      </c>
      <c r="Q33" s="353">
        <v>85000</v>
      </c>
    </row>
    <row r="34" spans="1:17" ht="70.5" customHeight="1" x14ac:dyDescent="0.25">
      <c r="A34" s="305" t="s">
        <v>33</v>
      </c>
      <c r="B34" s="306">
        <v>26593980</v>
      </c>
      <c r="C34" s="303" t="s">
        <v>318</v>
      </c>
      <c r="D34" s="303" t="s">
        <v>1282</v>
      </c>
      <c r="E34" s="306"/>
      <c r="F34" s="306">
        <v>2453453</v>
      </c>
      <c r="G34" s="307" t="s">
        <v>1122</v>
      </c>
      <c r="H34" s="307" t="s">
        <v>322</v>
      </c>
      <c r="I34" s="330" t="s">
        <v>294</v>
      </c>
      <c r="J34" s="305">
        <v>1.5</v>
      </c>
      <c r="K34" s="307">
        <v>0</v>
      </c>
      <c r="L34" s="308">
        <v>1296000</v>
      </c>
      <c r="M34" s="308">
        <f>0</f>
        <v>0</v>
      </c>
      <c r="N34" s="308">
        <v>1296000</v>
      </c>
      <c r="O34" s="308">
        <v>163000</v>
      </c>
      <c r="P34" s="368">
        <f>0</f>
        <v>0</v>
      </c>
      <c r="Q34" s="353">
        <v>163000</v>
      </c>
    </row>
    <row r="35" spans="1:17" ht="70.5" customHeight="1" x14ac:dyDescent="0.25">
      <c r="A35" s="305" t="s">
        <v>323</v>
      </c>
      <c r="B35" s="306">
        <v>43256503</v>
      </c>
      <c r="C35" s="303" t="s">
        <v>324</v>
      </c>
      <c r="D35" s="303" t="s">
        <v>1283</v>
      </c>
      <c r="E35" s="306"/>
      <c r="F35" s="306">
        <v>8396068</v>
      </c>
      <c r="G35" s="307" t="s">
        <v>1092</v>
      </c>
      <c r="H35" s="307" t="s">
        <v>325</v>
      </c>
      <c r="I35" s="330" t="s">
        <v>300</v>
      </c>
      <c r="J35" s="305">
        <v>19.54</v>
      </c>
      <c r="K35" s="307">
        <v>0</v>
      </c>
      <c r="L35" s="308">
        <v>7800000</v>
      </c>
      <c r="M35" s="308">
        <f>0</f>
        <v>0</v>
      </c>
      <c r="N35" s="308">
        <v>7800000</v>
      </c>
      <c r="O35" s="308">
        <v>0</v>
      </c>
      <c r="P35" s="368">
        <f>0</f>
        <v>0</v>
      </c>
      <c r="Q35" s="353">
        <v>0</v>
      </c>
    </row>
    <row r="36" spans="1:17" ht="70.5" customHeight="1" x14ac:dyDescent="0.25">
      <c r="A36" s="305" t="s">
        <v>323</v>
      </c>
      <c r="B36" s="306">
        <v>43256503</v>
      </c>
      <c r="C36" s="303" t="s">
        <v>324</v>
      </c>
      <c r="D36" s="303" t="s">
        <v>1283</v>
      </c>
      <c r="E36" s="306"/>
      <c r="F36" s="306">
        <v>1947710</v>
      </c>
      <c r="G36" s="307" t="s">
        <v>323</v>
      </c>
      <c r="H36" s="307" t="s">
        <v>283</v>
      </c>
      <c r="I36" s="330" t="s">
        <v>278</v>
      </c>
      <c r="J36" s="305">
        <v>5.07</v>
      </c>
      <c r="K36" s="307">
        <v>4</v>
      </c>
      <c r="L36" s="308">
        <v>1335905</v>
      </c>
      <c r="M36" s="308">
        <f>0</f>
        <v>0</v>
      </c>
      <c r="N36" s="308">
        <v>1335905</v>
      </c>
      <c r="O36" s="308">
        <v>0</v>
      </c>
      <c r="P36" s="368">
        <f>0</f>
        <v>0</v>
      </c>
      <c r="Q36" s="353">
        <v>0</v>
      </c>
    </row>
    <row r="37" spans="1:17" ht="70.5" customHeight="1" x14ac:dyDescent="0.25">
      <c r="A37" s="305" t="s">
        <v>326</v>
      </c>
      <c r="B37" s="306">
        <v>65100654</v>
      </c>
      <c r="C37" s="303" t="s">
        <v>324</v>
      </c>
      <c r="D37" s="303" t="s">
        <v>1284</v>
      </c>
      <c r="E37" s="306"/>
      <c r="F37" s="306">
        <v>6722018</v>
      </c>
      <c r="G37" s="307" t="s">
        <v>1147</v>
      </c>
      <c r="H37" s="307" t="s">
        <v>325</v>
      </c>
      <c r="I37" s="330" t="s">
        <v>300</v>
      </c>
      <c r="J37" s="305">
        <v>57.27</v>
      </c>
      <c r="K37" s="307">
        <v>0</v>
      </c>
      <c r="L37" s="308">
        <v>17550000</v>
      </c>
      <c r="M37" s="308">
        <f>0</f>
        <v>0</v>
      </c>
      <c r="N37" s="308">
        <v>17550000</v>
      </c>
      <c r="O37" s="308">
        <v>0</v>
      </c>
      <c r="P37" s="368">
        <f>0</f>
        <v>0</v>
      </c>
      <c r="Q37" s="353">
        <v>0</v>
      </c>
    </row>
    <row r="38" spans="1:17" ht="70.5" customHeight="1" x14ac:dyDescent="0.25">
      <c r="A38" s="305" t="s">
        <v>326</v>
      </c>
      <c r="B38" s="306">
        <v>65100654</v>
      </c>
      <c r="C38" s="303" t="s">
        <v>324</v>
      </c>
      <c r="D38" s="303" t="s">
        <v>1284</v>
      </c>
      <c r="E38" s="306"/>
      <c r="F38" s="306">
        <v>7665554</v>
      </c>
      <c r="G38" s="307" t="s">
        <v>1138</v>
      </c>
      <c r="H38" s="307" t="s">
        <v>283</v>
      </c>
      <c r="I38" s="330" t="s">
        <v>278</v>
      </c>
      <c r="J38" s="305">
        <v>3.84</v>
      </c>
      <c r="K38" s="307">
        <v>10</v>
      </c>
      <c r="L38" s="308">
        <v>1236201</v>
      </c>
      <c r="M38" s="308">
        <f>0</f>
        <v>0</v>
      </c>
      <c r="N38" s="308">
        <v>1236201</v>
      </c>
      <c r="O38" s="308">
        <v>0</v>
      </c>
      <c r="P38" s="368">
        <f>0</f>
        <v>0</v>
      </c>
      <c r="Q38" s="353">
        <v>0</v>
      </c>
    </row>
    <row r="39" spans="1:17" ht="70.5" customHeight="1" x14ac:dyDescent="0.25">
      <c r="A39" s="305" t="s">
        <v>326</v>
      </c>
      <c r="B39" s="306">
        <v>65100654</v>
      </c>
      <c r="C39" s="303" t="s">
        <v>324</v>
      </c>
      <c r="D39" s="303" t="s">
        <v>1284</v>
      </c>
      <c r="E39" s="306"/>
      <c r="F39" s="306">
        <v>2480451</v>
      </c>
      <c r="G39" s="307" t="s">
        <v>1123</v>
      </c>
      <c r="H39" s="307" t="s">
        <v>285</v>
      </c>
      <c r="I39" s="330" t="s">
        <v>278</v>
      </c>
      <c r="J39" s="305">
        <v>5.6</v>
      </c>
      <c r="K39" s="307">
        <v>12</v>
      </c>
      <c r="L39" s="308">
        <v>1500000</v>
      </c>
      <c r="M39" s="308">
        <f>0</f>
        <v>0</v>
      </c>
      <c r="N39" s="308">
        <v>1500000</v>
      </c>
      <c r="O39" s="308">
        <v>0</v>
      </c>
      <c r="P39" s="368">
        <f>0</f>
        <v>0</v>
      </c>
      <c r="Q39" s="353">
        <v>0</v>
      </c>
    </row>
    <row r="40" spans="1:17" ht="70.5" customHeight="1" x14ac:dyDescent="0.25">
      <c r="A40" s="305" t="s">
        <v>1166</v>
      </c>
      <c r="B40" s="309" t="s">
        <v>329</v>
      </c>
      <c r="C40" s="303" t="s">
        <v>267</v>
      </c>
      <c r="D40" s="303" t="s">
        <v>1285</v>
      </c>
      <c r="E40" s="309"/>
      <c r="F40" s="306">
        <v>4358523</v>
      </c>
      <c r="G40" s="307" t="s">
        <v>1167</v>
      </c>
      <c r="H40" s="307" t="s">
        <v>322</v>
      </c>
      <c r="I40" s="330" t="s">
        <v>294</v>
      </c>
      <c r="J40" s="305">
        <v>0.94</v>
      </c>
      <c r="K40" s="307">
        <v>0</v>
      </c>
      <c r="L40" s="308">
        <v>565984</v>
      </c>
      <c r="M40" s="308">
        <f>0</f>
        <v>0</v>
      </c>
      <c r="N40" s="308">
        <v>565984</v>
      </c>
      <c r="O40" s="308">
        <v>102000</v>
      </c>
      <c r="P40" s="368">
        <f>0</f>
        <v>0</v>
      </c>
      <c r="Q40" s="353">
        <v>102000</v>
      </c>
    </row>
    <row r="41" spans="1:17" ht="70.5" customHeight="1" x14ac:dyDescent="0.25">
      <c r="A41" s="305" t="s">
        <v>1166</v>
      </c>
      <c r="B41" s="309" t="s">
        <v>329</v>
      </c>
      <c r="C41" s="303" t="s">
        <v>267</v>
      </c>
      <c r="D41" s="303" t="s">
        <v>1285</v>
      </c>
      <c r="E41" s="309"/>
      <c r="F41" s="306">
        <v>4756138</v>
      </c>
      <c r="G41" s="307" t="s">
        <v>1176</v>
      </c>
      <c r="H41" s="307" t="s">
        <v>308</v>
      </c>
      <c r="I41" s="330" t="s">
        <v>300</v>
      </c>
      <c r="J41" s="305">
        <v>1.57</v>
      </c>
      <c r="K41" s="307">
        <v>0</v>
      </c>
      <c r="L41" s="308">
        <v>1017360</v>
      </c>
      <c r="M41" s="308">
        <f>0</f>
        <v>0</v>
      </c>
      <c r="N41" s="308">
        <v>1017360</v>
      </c>
      <c r="O41" s="308">
        <v>170000</v>
      </c>
      <c r="P41" s="368">
        <f>0</f>
        <v>0</v>
      </c>
      <c r="Q41" s="353">
        <v>170000</v>
      </c>
    </row>
    <row r="42" spans="1:17" ht="70.5" customHeight="1" x14ac:dyDescent="0.25">
      <c r="A42" s="305" t="s">
        <v>192</v>
      </c>
      <c r="B42" s="306">
        <v>25755277</v>
      </c>
      <c r="C42" s="303" t="s">
        <v>318</v>
      </c>
      <c r="D42" s="303" t="s">
        <v>1286</v>
      </c>
      <c r="E42" s="306"/>
      <c r="F42" s="306">
        <v>6719009</v>
      </c>
      <c r="G42" s="307" t="s">
        <v>1203</v>
      </c>
      <c r="H42" s="307" t="s">
        <v>268</v>
      </c>
      <c r="I42" s="330" t="s">
        <v>269</v>
      </c>
      <c r="J42" s="305">
        <v>6</v>
      </c>
      <c r="K42" s="307">
        <v>0</v>
      </c>
      <c r="L42" s="308">
        <v>3898800</v>
      </c>
      <c r="M42" s="308">
        <f>0</f>
        <v>0</v>
      </c>
      <c r="N42" s="308">
        <v>3898800</v>
      </c>
      <c r="O42" s="308">
        <v>391000</v>
      </c>
      <c r="P42" s="368">
        <f>0</f>
        <v>0</v>
      </c>
      <c r="Q42" s="353">
        <v>391000</v>
      </c>
    </row>
    <row r="43" spans="1:17" ht="70.5" customHeight="1" x14ac:dyDescent="0.25">
      <c r="A43" s="305" t="s">
        <v>192</v>
      </c>
      <c r="B43" s="306">
        <v>25755277</v>
      </c>
      <c r="C43" s="303" t="s">
        <v>318</v>
      </c>
      <c r="D43" s="303" t="s">
        <v>1286</v>
      </c>
      <c r="E43" s="306"/>
      <c r="F43" s="306">
        <v>5235056</v>
      </c>
      <c r="G43" s="307" t="s">
        <v>1185</v>
      </c>
      <c r="H43" s="307" t="s">
        <v>330</v>
      </c>
      <c r="I43" s="330" t="s">
        <v>269</v>
      </c>
      <c r="J43" s="305">
        <v>3.5</v>
      </c>
      <c r="K43" s="307">
        <v>0</v>
      </c>
      <c r="L43" s="308">
        <v>2386841</v>
      </c>
      <c r="M43" s="308">
        <f>0</f>
        <v>0</v>
      </c>
      <c r="N43" s="308">
        <v>2386841</v>
      </c>
      <c r="O43" s="308">
        <v>380000</v>
      </c>
      <c r="P43" s="368">
        <f>0</f>
        <v>0</v>
      </c>
      <c r="Q43" s="353">
        <v>380000</v>
      </c>
    </row>
    <row r="44" spans="1:17" ht="70.5" customHeight="1" x14ac:dyDescent="0.25">
      <c r="A44" s="305" t="s">
        <v>192</v>
      </c>
      <c r="B44" s="306">
        <v>25755277</v>
      </c>
      <c r="C44" s="303" t="s">
        <v>318</v>
      </c>
      <c r="D44" s="303" t="s">
        <v>1286</v>
      </c>
      <c r="E44" s="306"/>
      <c r="F44" s="306">
        <v>5713240</v>
      </c>
      <c r="G44" s="307" t="s">
        <v>1194</v>
      </c>
      <c r="H44" s="307" t="s">
        <v>331</v>
      </c>
      <c r="I44" s="330" t="s">
        <v>294</v>
      </c>
      <c r="J44" s="305">
        <v>6</v>
      </c>
      <c r="K44" s="307">
        <v>0</v>
      </c>
      <c r="L44" s="308">
        <v>4212000</v>
      </c>
      <c r="M44" s="308">
        <f>0</f>
        <v>0</v>
      </c>
      <c r="N44" s="308">
        <v>4212000</v>
      </c>
      <c r="O44" s="308">
        <v>510000</v>
      </c>
      <c r="P44" s="368">
        <f>0</f>
        <v>0</v>
      </c>
      <c r="Q44" s="353">
        <v>510000</v>
      </c>
    </row>
    <row r="45" spans="1:17" ht="70.5" customHeight="1" x14ac:dyDescent="0.25">
      <c r="A45" s="305" t="s">
        <v>68</v>
      </c>
      <c r="B45" s="306">
        <v>68455232</v>
      </c>
      <c r="C45" s="303" t="s">
        <v>288</v>
      </c>
      <c r="D45" s="303" t="s">
        <v>1287</v>
      </c>
      <c r="E45" s="306"/>
      <c r="F45" s="306">
        <v>9813481</v>
      </c>
      <c r="G45" s="307" t="s">
        <v>1237</v>
      </c>
      <c r="H45" s="307" t="s">
        <v>268</v>
      </c>
      <c r="I45" s="330" t="s">
        <v>269</v>
      </c>
      <c r="J45" s="305">
        <v>5.23</v>
      </c>
      <c r="K45" s="307">
        <v>0</v>
      </c>
      <c r="L45" s="308">
        <v>3398454</v>
      </c>
      <c r="M45" s="308">
        <f>0</f>
        <v>0</v>
      </c>
      <c r="N45" s="308">
        <v>3398454</v>
      </c>
      <c r="O45" s="308">
        <v>340000</v>
      </c>
      <c r="P45" s="368">
        <f>0</f>
        <v>0</v>
      </c>
      <c r="Q45" s="353">
        <v>340000</v>
      </c>
    </row>
    <row r="46" spans="1:17" ht="70.5" customHeight="1" x14ac:dyDescent="0.25">
      <c r="A46" s="305" t="s">
        <v>332</v>
      </c>
      <c r="B46" s="306">
        <v>48282961</v>
      </c>
      <c r="C46" s="303" t="s">
        <v>296</v>
      </c>
      <c r="D46" s="303" t="s">
        <v>1288</v>
      </c>
      <c r="E46" s="306" t="s">
        <v>1101</v>
      </c>
      <c r="F46" s="306">
        <v>2293541</v>
      </c>
      <c r="G46" s="307" t="s">
        <v>1120</v>
      </c>
      <c r="H46" s="307" t="s">
        <v>289</v>
      </c>
      <c r="I46" s="330" t="s">
        <v>269</v>
      </c>
      <c r="J46" s="305">
        <v>12.7</v>
      </c>
      <c r="K46" s="307">
        <v>0</v>
      </c>
      <c r="L46" s="308">
        <v>7059000</v>
      </c>
      <c r="M46" s="308">
        <f>0</f>
        <v>0</v>
      </c>
      <c r="N46" s="308">
        <v>7059000</v>
      </c>
      <c r="O46" s="308">
        <v>0</v>
      </c>
      <c r="P46" s="368">
        <f>0</f>
        <v>0</v>
      </c>
      <c r="Q46" s="353">
        <v>0</v>
      </c>
    </row>
    <row r="47" spans="1:17" ht="70.5" customHeight="1" x14ac:dyDescent="0.25">
      <c r="A47" s="305" t="s">
        <v>332</v>
      </c>
      <c r="B47" s="306">
        <v>48282961</v>
      </c>
      <c r="C47" s="303" t="s">
        <v>296</v>
      </c>
      <c r="D47" s="303" t="s">
        <v>1288</v>
      </c>
      <c r="E47" s="306" t="s">
        <v>1101</v>
      </c>
      <c r="F47" s="306">
        <v>2038560</v>
      </c>
      <c r="G47" s="307" t="s">
        <v>1114</v>
      </c>
      <c r="H47" s="307" t="s">
        <v>298</v>
      </c>
      <c r="I47" s="330" t="s">
        <v>278</v>
      </c>
      <c r="J47" s="305">
        <v>6.3</v>
      </c>
      <c r="K47" s="307">
        <v>5</v>
      </c>
      <c r="L47" s="308">
        <v>3120000</v>
      </c>
      <c r="M47" s="308">
        <f>0</f>
        <v>0</v>
      </c>
      <c r="N47" s="308">
        <v>3120000</v>
      </c>
      <c r="O47" s="308">
        <v>0</v>
      </c>
      <c r="P47" s="368">
        <f>0</f>
        <v>0</v>
      </c>
      <c r="Q47" s="353">
        <v>0</v>
      </c>
    </row>
    <row r="48" spans="1:17" ht="70.5" customHeight="1" x14ac:dyDescent="0.25">
      <c r="A48" s="305" t="s">
        <v>333</v>
      </c>
      <c r="B48" s="306">
        <v>68247877</v>
      </c>
      <c r="C48" s="303" t="s">
        <v>324</v>
      </c>
      <c r="D48" s="303" t="s">
        <v>1289</v>
      </c>
      <c r="E48" s="306"/>
      <c r="F48" s="306">
        <v>6907978</v>
      </c>
      <c r="G48" s="307" t="s">
        <v>1138</v>
      </c>
      <c r="H48" s="307" t="s">
        <v>283</v>
      </c>
      <c r="I48" s="330" t="s">
        <v>278</v>
      </c>
      <c r="J48" s="305">
        <v>4.2</v>
      </c>
      <c r="K48" s="307">
        <v>2</v>
      </c>
      <c r="L48" s="308">
        <v>1008000</v>
      </c>
      <c r="M48" s="308">
        <f>0</f>
        <v>0</v>
      </c>
      <c r="N48" s="308">
        <v>1008000</v>
      </c>
      <c r="O48" s="308">
        <v>0</v>
      </c>
      <c r="P48" s="368">
        <f>0</f>
        <v>0</v>
      </c>
      <c r="Q48" s="353">
        <v>0</v>
      </c>
    </row>
    <row r="49" spans="1:17" ht="70.5" customHeight="1" x14ac:dyDescent="0.25">
      <c r="A49" s="305" t="s">
        <v>333</v>
      </c>
      <c r="B49" s="306">
        <v>68247877</v>
      </c>
      <c r="C49" s="303" t="s">
        <v>324</v>
      </c>
      <c r="D49" s="303" t="s">
        <v>1289</v>
      </c>
      <c r="E49" s="306"/>
      <c r="F49" s="306">
        <v>3790182</v>
      </c>
      <c r="G49" s="307" t="s">
        <v>1120</v>
      </c>
      <c r="H49" s="307" t="s">
        <v>289</v>
      </c>
      <c r="I49" s="330" t="s">
        <v>269</v>
      </c>
      <c r="J49" s="305">
        <v>4.9000000000000004</v>
      </c>
      <c r="K49" s="307">
        <v>0</v>
      </c>
      <c r="L49" s="308">
        <v>3439800</v>
      </c>
      <c r="M49" s="308">
        <f>0</f>
        <v>0</v>
      </c>
      <c r="N49" s="308">
        <v>3439800</v>
      </c>
      <c r="O49" s="308">
        <v>0</v>
      </c>
      <c r="P49" s="368">
        <f>0</f>
        <v>0</v>
      </c>
      <c r="Q49" s="353">
        <v>0</v>
      </c>
    </row>
    <row r="50" spans="1:17" ht="70.5" customHeight="1" x14ac:dyDescent="0.25">
      <c r="A50" s="305" t="s">
        <v>333</v>
      </c>
      <c r="B50" s="306">
        <v>68247877</v>
      </c>
      <c r="C50" s="303" t="s">
        <v>324</v>
      </c>
      <c r="D50" s="303" t="s">
        <v>1289</v>
      </c>
      <c r="E50" s="306"/>
      <c r="F50" s="306">
        <v>5312119</v>
      </c>
      <c r="G50" s="307" t="s">
        <v>1187</v>
      </c>
      <c r="H50" s="307" t="s">
        <v>334</v>
      </c>
      <c r="I50" s="330" t="s">
        <v>278</v>
      </c>
      <c r="J50" s="305">
        <v>5.05</v>
      </c>
      <c r="K50" s="307">
        <v>5</v>
      </c>
      <c r="L50" s="308">
        <v>2370000</v>
      </c>
      <c r="M50" s="308">
        <f>0</f>
        <v>0</v>
      </c>
      <c r="N50" s="308">
        <v>2370000</v>
      </c>
      <c r="O50" s="308">
        <v>0</v>
      </c>
      <c r="P50" s="368">
        <f>0</f>
        <v>0</v>
      </c>
      <c r="Q50" s="353">
        <v>0</v>
      </c>
    </row>
    <row r="51" spans="1:17" ht="70.5" customHeight="1" x14ac:dyDescent="0.25">
      <c r="A51" s="305" t="s">
        <v>335</v>
      </c>
      <c r="B51" s="309" t="s">
        <v>336</v>
      </c>
      <c r="C51" s="303" t="s">
        <v>324</v>
      </c>
      <c r="D51" s="303" t="s">
        <v>1291</v>
      </c>
      <c r="E51" s="309"/>
      <c r="F51" s="306">
        <v>4297455</v>
      </c>
      <c r="G51" s="307" t="s">
        <v>1163</v>
      </c>
      <c r="H51" s="307" t="s">
        <v>289</v>
      </c>
      <c r="I51" s="330" t="s">
        <v>269</v>
      </c>
      <c r="J51" s="305">
        <v>4.5</v>
      </c>
      <c r="K51" s="307">
        <v>0</v>
      </c>
      <c r="L51" s="308">
        <v>3159000</v>
      </c>
      <c r="M51" s="308">
        <f>0</f>
        <v>0</v>
      </c>
      <c r="N51" s="308">
        <v>3159000</v>
      </c>
      <c r="O51" s="308">
        <v>0</v>
      </c>
      <c r="P51" s="368">
        <f>0</f>
        <v>0</v>
      </c>
      <c r="Q51" s="353">
        <v>0</v>
      </c>
    </row>
    <row r="52" spans="1:17" ht="70.5" customHeight="1" x14ac:dyDescent="0.25">
      <c r="A52" s="305" t="s">
        <v>178</v>
      </c>
      <c r="B52" s="306">
        <v>27298523</v>
      </c>
      <c r="C52" s="303" t="s">
        <v>318</v>
      </c>
      <c r="D52" s="303" t="s">
        <v>1292</v>
      </c>
      <c r="E52" s="306"/>
      <c r="F52" s="306">
        <v>5793673</v>
      </c>
      <c r="G52" s="307" t="s">
        <v>1164</v>
      </c>
      <c r="H52" s="307" t="s">
        <v>321</v>
      </c>
      <c r="I52" s="330" t="s">
        <v>294</v>
      </c>
      <c r="J52" s="305">
        <v>5</v>
      </c>
      <c r="K52" s="307">
        <v>0</v>
      </c>
      <c r="L52" s="308">
        <v>3300000</v>
      </c>
      <c r="M52" s="308">
        <f>0</f>
        <v>0</v>
      </c>
      <c r="N52" s="308">
        <v>3300000</v>
      </c>
      <c r="O52" s="308">
        <v>220000</v>
      </c>
      <c r="P52" s="368">
        <f>0</f>
        <v>0</v>
      </c>
      <c r="Q52" s="353">
        <v>220000</v>
      </c>
    </row>
    <row r="53" spans="1:17" ht="70.5" customHeight="1" x14ac:dyDescent="0.25">
      <c r="A53" s="305" t="s">
        <v>178</v>
      </c>
      <c r="B53" s="306">
        <v>27298523</v>
      </c>
      <c r="C53" s="303" t="s">
        <v>318</v>
      </c>
      <c r="D53" s="303" t="s">
        <v>1292</v>
      </c>
      <c r="E53" s="306"/>
      <c r="F53" s="306">
        <v>3166608</v>
      </c>
      <c r="G53" s="307" t="s">
        <v>1141</v>
      </c>
      <c r="H53" s="307" t="s">
        <v>298</v>
      </c>
      <c r="I53" s="330" t="s">
        <v>278</v>
      </c>
      <c r="J53" s="305">
        <v>13</v>
      </c>
      <c r="K53" s="307">
        <v>26</v>
      </c>
      <c r="L53" s="308">
        <v>5052100</v>
      </c>
      <c r="M53" s="308">
        <f>0</f>
        <v>0</v>
      </c>
      <c r="N53" s="308">
        <v>5052100</v>
      </c>
      <c r="O53" s="308">
        <v>636000</v>
      </c>
      <c r="P53" s="368">
        <f>0</f>
        <v>0</v>
      </c>
      <c r="Q53" s="353">
        <v>636000</v>
      </c>
    </row>
    <row r="54" spans="1:17" ht="70.5" customHeight="1" x14ac:dyDescent="0.25">
      <c r="A54" s="305" t="s">
        <v>178</v>
      </c>
      <c r="B54" s="306">
        <v>27298523</v>
      </c>
      <c r="C54" s="303" t="s">
        <v>318</v>
      </c>
      <c r="D54" s="303" t="s">
        <v>1292</v>
      </c>
      <c r="E54" s="306"/>
      <c r="F54" s="306">
        <v>7044506</v>
      </c>
      <c r="G54" s="307" t="s">
        <v>1209</v>
      </c>
      <c r="H54" s="307" t="s">
        <v>337</v>
      </c>
      <c r="I54" s="330" t="s">
        <v>278</v>
      </c>
      <c r="J54" s="305">
        <v>17.75</v>
      </c>
      <c r="K54" s="307">
        <v>52</v>
      </c>
      <c r="L54" s="308">
        <v>10790000</v>
      </c>
      <c r="M54" s="308">
        <f>0</f>
        <v>0</v>
      </c>
      <c r="N54" s="308">
        <v>10790000</v>
      </c>
      <c r="O54" s="308">
        <v>830000</v>
      </c>
      <c r="P54" s="368">
        <f>0</f>
        <v>0</v>
      </c>
      <c r="Q54" s="353">
        <v>830000</v>
      </c>
    </row>
    <row r="55" spans="1:17" ht="70.5" customHeight="1" x14ac:dyDescent="0.25">
      <c r="A55" s="305" t="s">
        <v>178</v>
      </c>
      <c r="B55" s="306">
        <v>27298523</v>
      </c>
      <c r="C55" s="303" t="s">
        <v>318</v>
      </c>
      <c r="D55" s="303" t="s">
        <v>1292</v>
      </c>
      <c r="E55" s="306"/>
      <c r="F55" s="306">
        <v>2718583</v>
      </c>
      <c r="G55" s="307" t="s">
        <v>1132</v>
      </c>
      <c r="H55" s="307" t="s">
        <v>338</v>
      </c>
      <c r="I55" s="330" t="s">
        <v>269</v>
      </c>
      <c r="J55" s="305">
        <v>5</v>
      </c>
      <c r="K55" s="307">
        <v>0</v>
      </c>
      <c r="L55" s="308">
        <v>0</v>
      </c>
      <c r="M55" s="308">
        <f>0</f>
        <v>0</v>
      </c>
      <c r="N55" s="308">
        <v>0</v>
      </c>
      <c r="O55" s="308">
        <v>254000</v>
      </c>
      <c r="P55" s="368">
        <f>0</f>
        <v>0</v>
      </c>
      <c r="Q55" s="353">
        <v>254000</v>
      </c>
    </row>
    <row r="56" spans="1:17" ht="70.5" customHeight="1" x14ac:dyDescent="0.25">
      <c r="A56" s="305" t="s">
        <v>166</v>
      </c>
      <c r="B56" s="306">
        <v>40233189</v>
      </c>
      <c r="C56" s="303" t="s">
        <v>288</v>
      </c>
      <c r="D56" s="303" t="s">
        <v>1293</v>
      </c>
      <c r="E56" s="306"/>
      <c r="F56" s="306">
        <v>5231429</v>
      </c>
      <c r="G56" s="307" t="s">
        <v>1184</v>
      </c>
      <c r="H56" s="307" t="s">
        <v>325</v>
      </c>
      <c r="I56" s="330" t="s">
        <v>294</v>
      </c>
      <c r="J56" s="305">
        <v>10.6</v>
      </c>
      <c r="K56" s="307">
        <v>0</v>
      </c>
      <c r="L56" s="308">
        <v>7887672</v>
      </c>
      <c r="M56" s="308">
        <f>0</f>
        <v>0</v>
      </c>
      <c r="N56" s="308">
        <v>7887672</v>
      </c>
      <c r="O56" s="308">
        <v>847000</v>
      </c>
      <c r="P56" s="368">
        <f>0</f>
        <v>0</v>
      </c>
      <c r="Q56" s="353">
        <v>847000</v>
      </c>
    </row>
    <row r="57" spans="1:17" ht="70.5" customHeight="1" x14ac:dyDescent="0.25">
      <c r="A57" s="305" t="s">
        <v>339</v>
      </c>
      <c r="B57" s="306">
        <v>43464343</v>
      </c>
      <c r="C57" s="303" t="s">
        <v>340</v>
      </c>
      <c r="D57" s="303" t="s">
        <v>1294</v>
      </c>
      <c r="E57" s="306"/>
      <c r="F57" s="306">
        <v>3148048</v>
      </c>
      <c r="G57" s="307" t="s">
        <v>1125</v>
      </c>
      <c r="H57" s="307" t="s">
        <v>314</v>
      </c>
      <c r="I57" s="330" t="s">
        <v>300</v>
      </c>
      <c r="J57" s="305">
        <v>3</v>
      </c>
      <c r="K57" s="307">
        <v>0</v>
      </c>
      <c r="L57" s="308">
        <v>877500</v>
      </c>
      <c r="M57" s="308">
        <v>112893.37</v>
      </c>
      <c r="N57" s="308">
        <v>764606.63</v>
      </c>
      <c r="O57" s="308">
        <v>326000</v>
      </c>
      <c r="P57" s="369">
        <v>0</v>
      </c>
      <c r="Q57" s="353">
        <v>326000</v>
      </c>
    </row>
    <row r="58" spans="1:17" ht="70.5" customHeight="1" x14ac:dyDescent="0.25">
      <c r="A58" s="305" t="s">
        <v>341</v>
      </c>
      <c r="B58" s="306">
        <v>73633992</v>
      </c>
      <c r="C58" s="303" t="s">
        <v>340</v>
      </c>
      <c r="D58" s="303" t="s">
        <v>1295</v>
      </c>
      <c r="E58" s="306"/>
      <c r="F58" s="306">
        <v>5741111</v>
      </c>
      <c r="G58" s="307" t="s">
        <v>1195</v>
      </c>
      <c r="H58" s="307" t="s">
        <v>325</v>
      </c>
      <c r="I58" s="330" t="s">
        <v>294</v>
      </c>
      <c r="J58" s="305">
        <v>8.5</v>
      </c>
      <c r="K58" s="307">
        <v>0</v>
      </c>
      <c r="L58" s="308">
        <v>4189695</v>
      </c>
      <c r="M58" s="308">
        <f>0</f>
        <v>0</v>
      </c>
      <c r="N58" s="308">
        <v>4189695</v>
      </c>
      <c r="O58" s="308">
        <v>680000</v>
      </c>
      <c r="P58" s="368">
        <f>0</f>
        <v>0</v>
      </c>
      <c r="Q58" s="353">
        <v>680000</v>
      </c>
    </row>
    <row r="59" spans="1:17" ht="70.5" customHeight="1" x14ac:dyDescent="0.25">
      <c r="A59" s="305" t="s">
        <v>341</v>
      </c>
      <c r="B59" s="306">
        <v>73633992</v>
      </c>
      <c r="C59" s="303" t="s">
        <v>340</v>
      </c>
      <c r="D59" s="303" t="s">
        <v>1295</v>
      </c>
      <c r="E59" s="306"/>
      <c r="F59" s="306">
        <v>3428319</v>
      </c>
      <c r="G59" s="307" t="s">
        <v>1146</v>
      </c>
      <c r="H59" s="307" t="s">
        <v>330</v>
      </c>
      <c r="I59" s="330" t="s">
        <v>300</v>
      </c>
      <c r="J59" s="305">
        <v>5</v>
      </c>
      <c r="K59" s="307">
        <v>0</v>
      </c>
      <c r="L59" s="308">
        <v>2819690</v>
      </c>
      <c r="M59" s="308">
        <f>0</f>
        <v>0</v>
      </c>
      <c r="N59" s="308">
        <v>2819690</v>
      </c>
      <c r="O59" s="308">
        <v>542000</v>
      </c>
      <c r="P59" s="368">
        <f>0</f>
        <v>0</v>
      </c>
      <c r="Q59" s="353">
        <v>542000</v>
      </c>
    </row>
    <row r="60" spans="1:17" ht="70.5" customHeight="1" x14ac:dyDescent="0.25">
      <c r="A60" s="305" t="s">
        <v>341</v>
      </c>
      <c r="B60" s="306">
        <v>73633992</v>
      </c>
      <c r="C60" s="303" t="s">
        <v>340</v>
      </c>
      <c r="D60" s="303" t="s">
        <v>1295</v>
      </c>
      <c r="E60" s="306"/>
      <c r="F60" s="306">
        <v>8492814</v>
      </c>
      <c r="G60" s="307" t="s">
        <v>341</v>
      </c>
      <c r="H60" s="307" t="s">
        <v>330</v>
      </c>
      <c r="I60" s="330" t="s">
        <v>300</v>
      </c>
      <c r="J60" s="305">
        <v>3</v>
      </c>
      <c r="K60" s="307">
        <v>0</v>
      </c>
      <c r="L60" s="308">
        <v>2180789</v>
      </c>
      <c r="M60" s="308">
        <v>28377.39</v>
      </c>
      <c r="N60" s="308">
        <v>2152411.61</v>
      </c>
      <c r="O60" s="308">
        <v>326000</v>
      </c>
      <c r="P60" s="368">
        <f>0</f>
        <v>0</v>
      </c>
      <c r="Q60" s="353">
        <v>326000</v>
      </c>
    </row>
    <row r="61" spans="1:17" ht="70.5" customHeight="1" x14ac:dyDescent="0.25">
      <c r="A61" s="305" t="s">
        <v>341</v>
      </c>
      <c r="B61" s="306">
        <v>73633992</v>
      </c>
      <c r="C61" s="303" t="s">
        <v>340</v>
      </c>
      <c r="D61" s="303" t="s">
        <v>1295</v>
      </c>
      <c r="E61" s="306"/>
      <c r="F61" s="306">
        <v>7080749</v>
      </c>
      <c r="G61" s="307" t="s">
        <v>1125</v>
      </c>
      <c r="H61" s="307" t="s">
        <v>314</v>
      </c>
      <c r="I61" s="330" t="s">
        <v>294</v>
      </c>
      <c r="J61" s="305">
        <v>5</v>
      </c>
      <c r="K61" s="307">
        <v>0</v>
      </c>
      <c r="L61" s="308">
        <v>3295510</v>
      </c>
      <c r="M61" s="308">
        <f>0</f>
        <v>0</v>
      </c>
      <c r="N61" s="308">
        <v>3295510</v>
      </c>
      <c r="O61" s="308">
        <v>542000</v>
      </c>
      <c r="P61" s="368">
        <f>0</f>
        <v>0</v>
      </c>
      <c r="Q61" s="353">
        <v>542000</v>
      </c>
    </row>
    <row r="62" spans="1:17" ht="70.5" customHeight="1" x14ac:dyDescent="0.25">
      <c r="A62" s="305" t="s">
        <v>88</v>
      </c>
      <c r="B62" s="306">
        <v>40229939</v>
      </c>
      <c r="C62" s="303" t="s">
        <v>340</v>
      </c>
      <c r="D62" s="303" t="s">
        <v>1296</v>
      </c>
      <c r="E62" s="306"/>
      <c r="F62" s="306">
        <v>3632154</v>
      </c>
      <c r="G62" s="307" t="s">
        <v>1150</v>
      </c>
      <c r="H62" s="307" t="s">
        <v>325</v>
      </c>
      <c r="I62" s="330" t="s">
        <v>294</v>
      </c>
      <c r="J62" s="305">
        <v>9.5</v>
      </c>
      <c r="K62" s="307">
        <v>0</v>
      </c>
      <c r="L62" s="308">
        <v>5174308</v>
      </c>
      <c r="M62" s="308">
        <v>183718</v>
      </c>
      <c r="N62" s="308">
        <v>4990590</v>
      </c>
      <c r="O62" s="308">
        <v>476000</v>
      </c>
      <c r="P62" s="368">
        <f>0</f>
        <v>0</v>
      </c>
      <c r="Q62" s="353">
        <v>476000</v>
      </c>
    </row>
    <row r="63" spans="1:17" ht="70.5" customHeight="1" x14ac:dyDescent="0.25">
      <c r="A63" s="305" t="s">
        <v>344</v>
      </c>
      <c r="B63" s="306">
        <v>71220097</v>
      </c>
      <c r="C63" s="303" t="s">
        <v>296</v>
      </c>
      <c r="D63" s="303" t="s">
        <v>1298</v>
      </c>
      <c r="E63" s="306" t="s">
        <v>1101</v>
      </c>
      <c r="F63" s="306">
        <v>4418892</v>
      </c>
      <c r="G63" s="307" t="s">
        <v>1169</v>
      </c>
      <c r="H63" s="307" t="s">
        <v>298</v>
      </c>
      <c r="I63" s="330" t="s">
        <v>278</v>
      </c>
      <c r="J63" s="305">
        <v>30.7</v>
      </c>
      <c r="K63" s="307">
        <v>48</v>
      </c>
      <c r="L63" s="308">
        <v>12324745</v>
      </c>
      <c r="M63" s="308">
        <f>0</f>
        <v>0</v>
      </c>
      <c r="N63" s="308">
        <v>12324745</v>
      </c>
      <c r="O63" s="308">
        <v>0</v>
      </c>
      <c r="P63" s="368">
        <f>0</f>
        <v>0</v>
      </c>
      <c r="Q63" s="353">
        <v>0</v>
      </c>
    </row>
    <row r="64" spans="1:17" ht="70.5" customHeight="1" x14ac:dyDescent="0.25">
      <c r="A64" s="305" t="s">
        <v>344</v>
      </c>
      <c r="B64" s="306">
        <v>71220097</v>
      </c>
      <c r="C64" s="303" t="s">
        <v>296</v>
      </c>
      <c r="D64" s="303" t="s">
        <v>1298</v>
      </c>
      <c r="E64" s="306" t="s">
        <v>1101</v>
      </c>
      <c r="F64" s="306">
        <v>4890597</v>
      </c>
      <c r="G64" s="307" t="s">
        <v>1178</v>
      </c>
      <c r="H64" s="307" t="s">
        <v>337</v>
      </c>
      <c r="I64" s="330" t="s">
        <v>278</v>
      </c>
      <c r="J64" s="305">
        <v>3.3</v>
      </c>
      <c r="K64" s="307">
        <v>10</v>
      </c>
      <c r="L64" s="308">
        <v>2278000</v>
      </c>
      <c r="M64" s="308">
        <f>0</f>
        <v>0</v>
      </c>
      <c r="N64" s="308">
        <v>2278000</v>
      </c>
      <c r="O64" s="308">
        <v>0</v>
      </c>
      <c r="P64" s="368">
        <f>0</f>
        <v>0</v>
      </c>
      <c r="Q64" s="353">
        <v>0</v>
      </c>
    </row>
    <row r="65" spans="1:17" ht="70.5" customHeight="1" x14ac:dyDescent="0.25">
      <c r="A65" s="305" t="s">
        <v>345</v>
      </c>
      <c r="B65" s="306">
        <v>75070758</v>
      </c>
      <c r="C65" s="303" t="s">
        <v>296</v>
      </c>
      <c r="D65" s="303" t="s">
        <v>1299</v>
      </c>
      <c r="E65" s="306" t="s">
        <v>1101</v>
      </c>
      <c r="F65" s="306">
        <v>9653966</v>
      </c>
      <c r="G65" s="307" t="s">
        <v>1102</v>
      </c>
      <c r="H65" s="307" t="s">
        <v>297</v>
      </c>
      <c r="I65" s="330" t="s">
        <v>269</v>
      </c>
      <c r="J65" s="305">
        <v>11.7</v>
      </c>
      <c r="K65" s="307">
        <v>0</v>
      </c>
      <c r="L65" s="308">
        <v>5100000</v>
      </c>
      <c r="M65" s="308">
        <f>0</f>
        <v>0</v>
      </c>
      <c r="N65" s="308">
        <v>5100000</v>
      </c>
      <c r="O65" s="308">
        <v>0</v>
      </c>
      <c r="P65" s="368">
        <f>0</f>
        <v>0</v>
      </c>
      <c r="Q65" s="353">
        <v>0</v>
      </c>
    </row>
    <row r="66" spans="1:17" ht="70.5" customHeight="1" x14ac:dyDescent="0.25">
      <c r="A66" s="305" t="s">
        <v>345</v>
      </c>
      <c r="B66" s="306">
        <v>75070758</v>
      </c>
      <c r="C66" s="303" t="s">
        <v>296</v>
      </c>
      <c r="D66" s="303" t="s">
        <v>1299</v>
      </c>
      <c r="E66" s="306" t="s">
        <v>1101</v>
      </c>
      <c r="F66" s="306">
        <v>1347706</v>
      </c>
      <c r="G66" s="307" t="s">
        <v>1102</v>
      </c>
      <c r="H66" s="307" t="s">
        <v>298</v>
      </c>
      <c r="I66" s="330" t="s">
        <v>278</v>
      </c>
      <c r="J66" s="305">
        <v>26.1</v>
      </c>
      <c r="K66" s="307">
        <v>37</v>
      </c>
      <c r="L66" s="308">
        <v>12416242</v>
      </c>
      <c r="M66" s="308">
        <f>0</f>
        <v>0</v>
      </c>
      <c r="N66" s="308">
        <v>12416242</v>
      </c>
      <c r="O66" s="308">
        <v>0</v>
      </c>
      <c r="P66" s="368">
        <f>0</f>
        <v>0</v>
      </c>
      <c r="Q66" s="353">
        <v>0</v>
      </c>
    </row>
    <row r="67" spans="1:17" ht="70.5" customHeight="1" x14ac:dyDescent="0.25">
      <c r="A67" s="305" t="s">
        <v>346</v>
      </c>
      <c r="B67" s="306">
        <v>71167463</v>
      </c>
      <c r="C67" s="303" t="s">
        <v>324</v>
      </c>
      <c r="D67" s="303" t="s">
        <v>1300</v>
      </c>
      <c r="E67" s="306"/>
      <c r="F67" s="306">
        <v>3555154</v>
      </c>
      <c r="G67" s="307" t="s">
        <v>1147</v>
      </c>
      <c r="H67" s="307" t="s">
        <v>325</v>
      </c>
      <c r="I67" s="330" t="s">
        <v>294</v>
      </c>
      <c r="J67" s="305">
        <v>5</v>
      </c>
      <c r="K67" s="307">
        <v>0</v>
      </c>
      <c r="L67" s="308">
        <v>2565000</v>
      </c>
      <c r="M67" s="308">
        <f>0</f>
        <v>0</v>
      </c>
      <c r="N67" s="308">
        <v>2565000</v>
      </c>
      <c r="O67" s="308">
        <v>0</v>
      </c>
      <c r="P67" s="368">
        <f>0</f>
        <v>0</v>
      </c>
      <c r="Q67" s="353">
        <v>0</v>
      </c>
    </row>
    <row r="68" spans="1:17" ht="70.5" customHeight="1" x14ac:dyDescent="0.25">
      <c r="A68" s="305" t="s">
        <v>346</v>
      </c>
      <c r="B68" s="306">
        <v>71167463</v>
      </c>
      <c r="C68" s="303" t="s">
        <v>324</v>
      </c>
      <c r="D68" s="303" t="s">
        <v>1300</v>
      </c>
      <c r="E68" s="306"/>
      <c r="F68" s="306">
        <v>3001174</v>
      </c>
      <c r="G68" s="307" t="s">
        <v>1136</v>
      </c>
      <c r="H68" s="307" t="s">
        <v>285</v>
      </c>
      <c r="I68" s="330" t="s">
        <v>278</v>
      </c>
      <c r="J68" s="305">
        <v>15.75</v>
      </c>
      <c r="K68" s="307">
        <v>35</v>
      </c>
      <c r="L68" s="308">
        <v>6961500</v>
      </c>
      <c r="M68" s="308">
        <f>0</f>
        <v>0</v>
      </c>
      <c r="N68" s="308">
        <v>6961500</v>
      </c>
      <c r="O68" s="308">
        <v>0</v>
      </c>
      <c r="P68" s="368">
        <f>0</f>
        <v>0</v>
      </c>
      <c r="Q68" s="353">
        <v>0</v>
      </c>
    </row>
    <row r="69" spans="1:17" ht="70.5" customHeight="1" x14ac:dyDescent="0.25">
      <c r="A69" s="305" t="s">
        <v>347</v>
      </c>
      <c r="B69" s="306">
        <v>71220020</v>
      </c>
      <c r="C69" s="303" t="s">
        <v>296</v>
      </c>
      <c r="D69" s="303" t="s">
        <v>1301</v>
      </c>
      <c r="E69" s="306" t="s">
        <v>1101</v>
      </c>
      <c r="F69" s="306">
        <v>8588423</v>
      </c>
      <c r="G69" s="307" t="s">
        <v>1136</v>
      </c>
      <c r="H69" s="307" t="s">
        <v>285</v>
      </c>
      <c r="I69" s="330" t="s">
        <v>278</v>
      </c>
      <c r="J69" s="305">
        <v>15</v>
      </c>
      <c r="K69" s="307">
        <v>41</v>
      </c>
      <c r="L69" s="308">
        <v>4433940</v>
      </c>
      <c r="M69" s="308">
        <f>0</f>
        <v>0</v>
      </c>
      <c r="N69" s="308">
        <v>4433940</v>
      </c>
      <c r="O69" s="308">
        <v>0</v>
      </c>
      <c r="P69" s="368">
        <f>0</f>
        <v>0</v>
      </c>
      <c r="Q69" s="353">
        <v>0</v>
      </c>
    </row>
    <row r="70" spans="1:17" ht="70.5" customHeight="1" x14ac:dyDescent="0.25">
      <c r="A70" s="305" t="s">
        <v>347</v>
      </c>
      <c r="B70" s="306">
        <v>71220020</v>
      </c>
      <c r="C70" s="303" t="s">
        <v>296</v>
      </c>
      <c r="D70" s="303" t="s">
        <v>1301</v>
      </c>
      <c r="E70" s="306" t="s">
        <v>1101</v>
      </c>
      <c r="F70" s="306">
        <v>3139161</v>
      </c>
      <c r="G70" s="307" t="s">
        <v>1139</v>
      </c>
      <c r="H70" s="307" t="s">
        <v>290</v>
      </c>
      <c r="I70" s="330" t="s">
        <v>278</v>
      </c>
      <c r="J70" s="305">
        <v>32</v>
      </c>
      <c r="K70" s="307">
        <v>59</v>
      </c>
      <c r="L70" s="308">
        <v>10573141</v>
      </c>
      <c r="M70" s="308">
        <f>0</f>
        <v>0</v>
      </c>
      <c r="N70" s="308">
        <v>10573141</v>
      </c>
      <c r="O70" s="308">
        <v>0</v>
      </c>
      <c r="P70" s="368">
        <f>0</f>
        <v>0</v>
      </c>
      <c r="Q70" s="353">
        <v>0</v>
      </c>
    </row>
    <row r="71" spans="1:17" ht="70.5" customHeight="1" x14ac:dyDescent="0.25">
      <c r="A71" s="305" t="s">
        <v>348</v>
      </c>
      <c r="B71" s="306">
        <v>71220011</v>
      </c>
      <c r="C71" s="303" t="s">
        <v>296</v>
      </c>
      <c r="D71" s="303" t="s">
        <v>1302</v>
      </c>
      <c r="E71" s="306" t="s">
        <v>1101</v>
      </c>
      <c r="F71" s="306">
        <v>9139875</v>
      </c>
      <c r="G71" s="307" t="s">
        <v>348</v>
      </c>
      <c r="H71" s="307" t="s">
        <v>285</v>
      </c>
      <c r="I71" s="330" t="s">
        <v>278</v>
      </c>
      <c r="J71" s="305">
        <v>25</v>
      </c>
      <c r="K71" s="307">
        <v>47</v>
      </c>
      <c r="L71" s="308">
        <v>9367583</v>
      </c>
      <c r="M71" s="308">
        <f>0</f>
        <v>0</v>
      </c>
      <c r="N71" s="308">
        <v>9367583</v>
      </c>
      <c r="O71" s="308">
        <v>0</v>
      </c>
      <c r="P71" s="368">
        <f>0</f>
        <v>0</v>
      </c>
      <c r="Q71" s="353">
        <v>0</v>
      </c>
    </row>
    <row r="72" spans="1:17" ht="70.5" customHeight="1" x14ac:dyDescent="0.25">
      <c r="A72" s="305" t="s">
        <v>348</v>
      </c>
      <c r="B72" s="306">
        <v>71220011</v>
      </c>
      <c r="C72" s="303" t="s">
        <v>296</v>
      </c>
      <c r="D72" s="303" t="s">
        <v>1302</v>
      </c>
      <c r="E72" s="306" t="s">
        <v>1101</v>
      </c>
      <c r="F72" s="306">
        <v>4654168</v>
      </c>
      <c r="G72" s="307" t="s">
        <v>1174</v>
      </c>
      <c r="H72" s="307" t="s">
        <v>290</v>
      </c>
      <c r="I72" s="330" t="s">
        <v>278</v>
      </c>
      <c r="J72" s="305">
        <v>24.5</v>
      </c>
      <c r="K72" s="307">
        <v>48</v>
      </c>
      <c r="L72" s="308">
        <v>8810126</v>
      </c>
      <c r="M72" s="308">
        <f>0</f>
        <v>0</v>
      </c>
      <c r="N72" s="308">
        <v>8810126</v>
      </c>
      <c r="O72" s="308">
        <v>0</v>
      </c>
      <c r="P72" s="368">
        <f>0</f>
        <v>0</v>
      </c>
      <c r="Q72" s="353">
        <v>0</v>
      </c>
    </row>
    <row r="73" spans="1:17" ht="70.5" customHeight="1" x14ac:dyDescent="0.25">
      <c r="A73" s="305" t="s">
        <v>349</v>
      </c>
      <c r="B73" s="306">
        <v>71220046</v>
      </c>
      <c r="C73" s="303" t="s">
        <v>296</v>
      </c>
      <c r="D73" s="303" t="s">
        <v>1303</v>
      </c>
      <c r="E73" s="306" t="s">
        <v>1101</v>
      </c>
      <c r="F73" s="306">
        <v>9450071</v>
      </c>
      <c r="G73" s="307" t="s">
        <v>1229</v>
      </c>
      <c r="H73" s="307" t="s">
        <v>285</v>
      </c>
      <c r="I73" s="330" t="s">
        <v>278</v>
      </c>
      <c r="J73" s="305">
        <v>11.75</v>
      </c>
      <c r="K73" s="307">
        <v>18</v>
      </c>
      <c r="L73" s="308">
        <v>3580200</v>
      </c>
      <c r="M73" s="308">
        <f>0</f>
        <v>0</v>
      </c>
      <c r="N73" s="308">
        <v>3580200</v>
      </c>
      <c r="O73" s="308">
        <v>0</v>
      </c>
      <c r="P73" s="368">
        <f>0</f>
        <v>0</v>
      </c>
      <c r="Q73" s="353">
        <v>0</v>
      </c>
    </row>
    <row r="74" spans="1:17" ht="70.5" customHeight="1" x14ac:dyDescent="0.25">
      <c r="A74" s="305" t="s">
        <v>349</v>
      </c>
      <c r="B74" s="306">
        <v>71220046</v>
      </c>
      <c r="C74" s="303" t="s">
        <v>296</v>
      </c>
      <c r="D74" s="303" t="s">
        <v>1303</v>
      </c>
      <c r="E74" s="306" t="s">
        <v>1101</v>
      </c>
      <c r="F74" s="306">
        <v>9266427</v>
      </c>
      <c r="G74" s="307" t="s">
        <v>1229</v>
      </c>
      <c r="H74" s="307" t="s">
        <v>290</v>
      </c>
      <c r="I74" s="330" t="s">
        <v>278</v>
      </c>
      <c r="J74" s="305">
        <v>35.25</v>
      </c>
      <c r="K74" s="307">
        <v>52</v>
      </c>
      <c r="L74" s="308">
        <v>12476820</v>
      </c>
      <c r="M74" s="308">
        <f>0</f>
        <v>0</v>
      </c>
      <c r="N74" s="308">
        <v>12476820</v>
      </c>
      <c r="O74" s="308">
        <v>0</v>
      </c>
      <c r="P74" s="368">
        <f>0</f>
        <v>0</v>
      </c>
      <c r="Q74" s="353">
        <v>0</v>
      </c>
    </row>
    <row r="75" spans="1:17" ht="70.5" customHeight="1" x14ac:dyDescent="0.25">
      <c r="A75" s="305" t="s">
        <v>350</v>
      </c>
      <c r="B75" s="309" t="s">
        <v>351</v>
      </c>
      <c r="C75" s="303" t="s">
        <v>296</v>
      </c>
      <c r="D75" s="303" t="s">
        <v>1304</v>
      </c>
      <c r="E75" s="309" t="s">
        <v>1101</v>
      </c>
      <c r="F75" s="306">
        <v>2522751</v>
      </c>
      <c r="G75" s="307" t="s">
        <v>350</v>
      </c>
      <c r="H75" s="307" t="s">
        <v>285</v>
      </c>
      <c r="I75" s="330" t="s">
        <v>278</v>
      </c>
      <c r="J75" s="305">
        <v>28.62</v>
      </c>
      <c r="K75" s="307">
        <v>66</v>
      </c>
      <c r="L75" s="308">
        <v>7457580</v>
      </c>
      <c r="M75" s="308">
        <f>0</f>
        <v>0</v>
      </c>
      <c r="N75" s="308">
        <v>7457580</v>
      </c>
      <c r="O75" s="308">
        <v>0</v>
      </c>
      <c r="P75" s="368">
        <f>0</f>
        <v>0</v>
      </c>
      <c r="Q75" s="353">
        <v>0</v>
      </c>
    </row>
    <row r="76" spans="1:17" ht="70.5" customHeight="1" x14ac:dyDescent="0.25">
      <c r="A76" s="305" t="s">
        <v>350</v>
      </c>
      <c r="B76" s="309" t="s">
        <v>351</v>
      </c>
      <c r="C76" s="303" t="s">
        <v>296</v>
      </c>
      <c r="D76" s="303" t="s">
        <v>1304</v>
      </c>
      <c r="E76" s="309" t="s">
        <v>1101</v>
      </c>
      <c r="F76" s="306">
        <v>8760544</v>
      </c>
      <c r="G76" s="307" t="s">
        <v>350</v>
      </c>
      <c r="H76" s="307" t="s">
        <v>290</v>
      </c>
      <c r="I76" s="330" t="s">
        <v>278</v>
      </c>
      <c r="J76" s="305">
        <v>30.25</v>
      </c>
      <c r="K76" s="307">
        <v>45</v>
      </c>
      <c r="L76" s="308">
        <v>8223650</v>
      </c>
      <c r="M76" s="308">
        <f>0</f>
        <v>0</v>
      </c>
      <c r="N76" s="308">
        <v>8223650</v>
      </c>
      <c r="O76" s="308">
        <v>0</v>
      </c>
      <c r="P76" s="368">
        <f>0</f>
        <v>0</v>
      </c>
      <c r="Q76" s="353">
        <v>0</v>
      </c>
    </row>
    <row r="77" spans="1:17" ht="70.5" customHeight="1" x14ac:dyDescent="0.25">
      <c r="A77" s="305" t="s">
        <v>352</v>
      </c>
      <c r="B77" s="306">
        <v>48282928</v>
      </c>
      <c r="C77" s="303" t="s">
        <v>296</v>
      </c>
      <c r="D77" s="303" t="s">
        <v>1305</v>
      </c>
      <c r="E77" s="306" t="s">
        <v>1101</v>
      </c>
      <c r="F77" s="306">
        <v>9835515</v>
      </c>
      <c r="G77" s="307" t="s">
        <v>352</v>
      </c>
      <c r="H77" s="307" t="s">
        <v>290</v>
      </c>
      <c r="I77" s="330" t="s">
        <v>278</v>
      </c>
      <c r="J77" s="305">
        <v>44</v>
      </c>
      <c r="K77" s="307">
        <v>80</v>
      </c>
      <c r="L77" s="308">
        <v>15928442</v>
      </c>
      <c r="M77" s="308">
        <f>0</f>
        <v>0</v>
      </c>
      <c r="N77" s="308">
        <v>15928442</v>
      </c>
      <c r="O77" s="308">
        <v>0</v>
      </c>
      <c r="P77" s="368">
        <f>0</f>
        <v>0</v>
      </c>
      <c r="Q77" s="353">
        <v>0</v>
      </c>
    </row>
    <row r="78" spans="1:17" ht="70.5" customHeight="1" x14ac:dyDescent="0.25">
      <c r="A78" s="305" t="s">
        <v>353</v>
      </c>
      <c r="B78" s="306">
        <v>71220003</v>
      </c>
      <c r="C78" s="303" t="s">
        <v>296</v>
      </c>
      <c r="D78" s="303" t="s">
        <v>1306</v>
      </c>
      <c r="E78" s="306" t="s">
        <v>1101</v>
      </c>
      <c r="F78" s="306">
        <v>2138835</v>
      </c>
      <c r="G78" s="307" t="s">
        <v>353</v>
      </c>
      <c r="H78" s="307" t="s">
        <v>285</v>
      </c>
      <c r="I78" s="330" t="s">
        <v>278</v>
      </c>
      <c r="J78" s="305">
        <v>46.4</v>
      </c>
      <c r="K78" s="307">
        <v>111</v>
      </c>
      <c r="L78" s="308">
        <v>17631114</v>
      </c>
      <c r="M78" s="308">
        <f>0</f>
        <v>0</v>
      </c>
      <c r="N78" s="308">
        <v>17631114</v>
      </c>
      <c r="O78" s="308">
        <v>0</v>
      </c>
      <c r="P78" s="368">
        <f>0</f>
        <v>0</v>
      </c>
      <c r="Q78" s="353">
        <v>0</v>
      </c>
    </row>
    <row r="79" spans="1:17" ht="70.5" customHeight="1" x14ac:dyDescent="0.25">
      <c r="A79" s="305" t="s">
        <v>353</v>
      </c>
      <c r="B79" s="306">
        <v>71220003</v>
      </c>
      <c r="C79" s="303" t="s">
        <v>296</v>
      </c>
      <c r="D79" s="303" t="s">
        <v>1306</v>
      </c>
      <c r="E79" s="306" t="s">
        <v>1101</v>
      </c>
      <c r="F79" s="306">
        <v>4630845</v>
      </c>
      <c r="G79" s="307" t="s">
        <v>353</v>
      </c>
      <c r="H79" s="307" t="s">
        <v>290</v>
      </c>
      <c r="I79" s="330" t="s">
        <v>278</v>
      </c>
      <c r="J79" s="305">
        <v>15.6</v>
      </c>
      <c r="K79" s="307">
        <v>22</v>
      </c>
      <c r="L79" s="308">
        <v>7147800</v>
      </c>
      <c r="M79" s="308">
        <f>0</f>
        <v>0</v>
      </c>
      <c r="N79" s="308">
        <v>7147800</v>
      </c>
      <c r="O79" s="308">
        <v>0</v>
      </c>
      <c r="P79" s="368">
        <f>0</f>
        <v>0</v>
      </c>
      <c r="Q79" s="353">
        <v>0</v>
      </c>
    </row>
    <row r="80" spans="1:17" ht="70.5" customHeight="1" x14ac:dyDescent="0.25">
      <c r="A80" s="305" t="s">
        <v>355</v>
      </c>
      <c r="B80" s="306">
        <v>71220089</v>
      </c>
      <c r="C80" s="303" t="s">
        <v>296</v>
      </c>
      <c r="D80" s="303" t="s">
        <v>1307</v>
      </c>
      <c r="E80" s="306" t="s">
        <v>1101</v>
      </c>
      <c r="F80" s="306">
        <v>3152221</v>
      </c>
      <c r="G80" s="307" t="s">
        <v>1106</v>
      </c>
      <c r="H80" s="307" t="s">
        <v>298</v>
      </c>
      <c r="I80" s="330" t="s">
        <v>278</v>
      </c>
      <c r="J80" s="305">
        <v>39</v>
      </c>
      <c r="K80" s="307">
        <v>29</v>
      </c>
      <c r="L80" s="308">
        <v>18096000</v>
      </c>
      <c r="M80" s="308">
        <f>0</f>
        <v>0</v>
      </c>
      <c r="N80" s="308">
        <v>18096000</v>
      </c>
      <c r="O80" s="308">
        <v>0</v>
      </c>
      <c r="P80" s="368">
        <f>0</f>
        <v>0</v>
      </c>
      <c r="Q80" s="353">
        <v>0</v>
      </c>
    </row>
    <row r="81" spans="1:17" ht="70.5" customHeight="1" x14ac:dyDescent="0.25">
      <c r="A81" s="305" t="s">
        <v>355</v>
      </c>
      <c r="B81" s="306">
        <v>71220089</v>
      </c>
      <c r="C81" s="303" t="s">
        <v>296</v>
      </c>
      <c r="D81" s="303" t="s">
        <v>1307</v>
      </c>
      <c r="E81" s="306" t="s">
        <v>1101</v>
      </c>
      <c r="F81" s="306">
        <v>1467756</v>
      </c>
      <c r="G81" s="307" t="s">
        <v>1106</v>
      </c>
      <c r="H81" s="307" t="s">
        <v>338</v>
      </c>
      <c r="I81" s="330" t="s">
        <v>269</v>
      </c>
      <c r="J81" s="305">
        <v>7</v>
      </c>
      <c r="K81" s="307">
        <v>0</v>
      </c>
      <c r="L81" s="308">
        <v>0</v>
      </c>
      <c r="M81" s="308">
        <f>0</f>
        <v>0</v>
      </c>
      <c r="N81" s="308">
        <v>0</v>
      </c>
      <c r="O81" s="308">
        <v>0</v>
      </c>
      <c r="P81" s="368">
        <f>0</f>
        <v>0</v>
      </c>
      <c r="Q81" s="353">
        <v>0</v>
      </c>
    </row>
    <row r="82" spans="1:17" ht="70.5" customHeight="1" x14ac:dyDescent="0.25">
      <c r="A82" s="305" t="s">
        <v>356</v>
      </c>
      <c r="B82" s="306">
        <v>48282936</v>
      </c>
      <c r="C82" s="303" t="s">
        <v>296</v>
      </c>
      <c r="D82" s="303" t="s">
        <v>1309</v>
      </c>
      <c r="E82" s="306" t="s">
        <v>1101</v>
      </c>
      <c r="F82" s="306">
        <v>3438523</v>
      </c>
      <c r="G82" s="307" t="s">
        <v>356</v>
      </c>
      <c r="H82" s="307" t="s">
        <v>298</v>
      </c>
      <c r="I82" s="330" t="s">
        <v>278</v>
      </c>
      <c r="J82" s="305">
        <v>60</v>
      </c>
      <c r="K82" s="307">
        <v>43</v>
      </c>
      <c r="L82" s="308">
        <v>26832000</v>
      </c>
      <c r="M82" s="308">
        <f>0</f>
        <v>0</v>
      </c>
      <c r="N82" s="308">
        <v>26832000</v>
      </c>
      <c r="O82" s="308">
        <v>0</v>
      </c>
      <c r="P82" s="368">
        <f>0</f>
        <v>0</v>
      </c>
      <c r="Q82" s="353">
        <v>0</v>
      </c>
    </row>
    <row r="83" spans="1:17" ht="70.5" customHeight="1" x14ac:dyDescent="0.25">
      <c r="A83" s="305" t="s">
        <v>357</v>
      </c>
      <c r="B83" s="306">
        <v>73632791</v>
      </c>
      <c r="C83" s="303" t="s">
        <v>340</v>
      </c>
      <c r="D83" s="303" t="s">
        <v>1310</v>
      </c>
      <c r="E83" s="306"/>
      <c r="F83" s="306">
        <v>3988103</v>
      </c>
      <c r="G83" s="307" t="s">
        <v>1160</v>
      </c>
      <c r="H83" s="307" t="s">
        <v>285</v>
      </c>
      <c r="I83" s="330" t="s">
        <v>278</v>
      </c>
      <c r="J83" s="305">
        <v>17.399999999999999</v>
      </c>
      <c r="K83" s="307">
        <v>45</v>
      </c>
      <c r="L83" s="308">
        <v>8852120</v>
      </c>
      <c r="M83" s="308">
        <f>0</f>
        <v>0</v>
      </c>
      <c r="N83" s="308">
        <v>8852120</v>
      </c>
      <c r="O83" s="308">
        <v>750000</v>
      </c>
      <c r="P83" s="368">
        <f>0</f>
        <v>0</v>
      </c>
      <c r="Q83" s="353">
        <v>750000</v>
      </c>
    </row>
    <row r="84" spans="1:17" ht="70.5" customHeight="1" x14ac:dyDescent="0.25">
      <c r="A84" s="305" t="s">
        <v>359</v>
      </c>
      <c r="B84" s="306">
        <v>60254050</v>
      </c>
      <c r="C84" s="303" t="s">
        <v>324</v>
      </c>
      <c r="D84" s="303" t="s">
        <v>1311</v>
      </c>
      <c r="E84" s="306"/>
      <c r="F84" s="306">
        <v>1526260</v>
      </c>
      <c r="G84" s="307" t="s">
        <v>1107</v>
      </c>
      <c r="H84" s="307" t="s">
        <v>325</v>
      </c>
      <c r="I84" s="330" t="s">
        <v>300</v>
      </c>
      <c r="J84" s="305">
        <v>5.09</v>
      </c>
      <c r="K84" s="307">
        <v>0</v>
      </c>
      <c r="L84" s="308">
        <v>2958150</v>
      </c>
      <c r="M84" s="308">
        <f>0</f>
        <v>0</v>
      </c>
      <c r="N84" s="308">
        <v>2958150</v>
      </c>
      <c r="O84" s="308">
        <v>0</v>
      </c>
      <c r="P84" s="368">
        <f>0</f>
        <v>0</v>
      </c>
      <c r="Q84" s="353">
        <v>0</v>
      </c>
    </row>
    <row r="85" spans="1:17" ht="70.5" customHeight="1" x14ac:dyDescent="0.25">
      <c r="A85" s="305" t="s">
        <v>361</v>
      </c>
      <c r="B85" s="306">
        <v>26586100</v>
      </c>
      <c r="C85" s="303" t="s">
        <v>362</v>
      </c>
      <c r="D85" s="303" t="s">
        <v>1313</v>
      </c>
      <c r="E85" s="306" t="s">
        <v>1118</v>
      </c>
      <c r="F85" s="306">
        <v>9397048</v>
      </c>
      <c r="G85" s="307" t="s">
        <v>1233</v>
      </c>
      <c r="H85" s="307" t="s">
        <v>268</v>
      </c>
      <c r="I85" s="330" t="s">
        <v>300</v>
      </c>
      <c r="J85" s="305">
        <v>0.97</v>
      </c>
      <c r="K85" s="307">
        <v>0</v>
      </c>
      <c r="L85" s="308">
        <v>0</v>
      </c>
      <c r="M85" s="308">
        <f>0</f>
        <v>0</v>
      </c>
      <c r="N85" s="308">
        <v>0</v>
      </c>
      <c r="O85" s="308">
        <v>0</v>
      </c>
      <c r="P85" s="368">
        <f>0</f>
        <v>0</v>
      </c>
      <c r="Q85" s="353">
        <v>0</v>
      </c>
    </row>
    <row r="86" spans="1:17" ht="70.5" customHeight="1" x14ac:dyDescent="0.25">
      <c r="A86" s="305" t="s">
        <v>361</v>
      </c>
      <c r="B86" s="306">
        <v>26586100</v>
      </c>
      <c r="C86" s="303" t="s">
        <v>362</v>
      </c>
      <c r="D86" s="303" t="s">
        <v>1313</v>
      </c>
      <c r="E86" s="306"/>
      <c r="F86" s="306">
        <v>7890129</v>
      </c>
      <c r="G86" s="307" t="s">
        <v>1168</v>
      </c>
      <c r="H86" s="307" t="s">
        <v>343</v>
      </c>
      <c r="I86" s="330" t="s">
        <v>294</v>
      </c>
      <c r="J86" s="305">
        <v>1.6</v>
      </c>
      <c r="K86" s="307">
        <v>0</v>
      </c>
      <c r="L86" s="308">
        <v>1056000</v>
      </c>
      <c r="M86" s="308">
        <f>0</f>
        <v>0</v>
      </c>
      <c r="N86" s="308">
        <v>1056000</v>
      </c>
      <c r="O86" s="308">
        <v>0</v>
      </c>
      <c r="P86" s="368">
        <f>0</f>
        <v>0</v>
      </c>
      <c r="Q86" s="353">
        <v>0</v>
      </c>
    </row>
    <row r="87" spans="1:17" ht="70.5" customHeight="1" x14ac:dyDescent="0.25">
      <c r="A87" s="305" t="s">
        <v>363</v>
      </c>
      <c r="B87" s="306">
        <v>70226148</v>
      </c>
      <c r="C87" s="303" t="s">
        <v>340</v>
      </c>
      <c r="D87" s="303" t="s">
        <v>1319</v>
      </c>
      <c r="E87" s="306"/>
      <c r="F87" s="306">
        <v>1297986</v>
      </c>
      <c r="G87" s="307" t="s">
        <v>1099</v>
      </c>
      <c r="H87" s="307" t="s">
        <v>364</v>
      </c>
      <c r="I87" s="330" t="s">
        <v>278</v>
      </c>
      <c r="J87" s="305">
        <v>12.25</v>
      </c>
      <c r="K87" s="307">
        <v>66</v>
      </c>
      <c r="L87" s="308">
        <v>8702105</v>
      </c>
      <c r="M87" s="308">
        <f>0</f>
        <v>0</v>
      </c>
      <c r="N87" s="308">
        <v>8702105</v>
      </c>
      <c r="O87" s="308">
        <v>700000</v>
      </c>
      <c r="P87" s="368">
        <f>0</f>
        <v>0</v>
      </c>
      <c r="Q87" s="353">
        <v>700000</v>
      </c>
    </row>
    <row r="88" spans="1:17" ht="70.5" customHeight="1" x14ac:dyDescent="0.25">
      <c r="A88" s="305" t="s">
        <v>363</v>
      </c>
      <c r="B88" s="306">
        <v>70226148</v>
      </c>
      <c r="C88" s="303" t="s">
        <v>340</v>
      </c>
      <c r="D88" s="303" t="s">
        <v>1319</v>
      </c>
      <c r="E88" s="306"/>
      <c r="F88" s="306">
        <v>6790491</v>
      </c>
      <c r="G88" s="307" t="s">
        <v>1205</v>
      </c>
      <c r="H88" s="307" t="s">
        <v>330</v>
      </c>
      <c r="I88" s="330" t="s">
        <v>300</v>
      </c>
      <c r="J88" s="305">
        <v>4</v>
      </c>
      <c r="K88" s="307">
        <v>0</v>
      </c>
      <c r="L88" s="308">
        <v>3081152</v>
      </c>
      <c r="M88" s="308">
        <f>0</f>
        <v>0</v>
      </c>
      <c r="N88" s="308">
        <v>3081152</v>
      </c>
      <c r="O88" s="308">
        <v>434000</v>
      </c>
      <c r="P88" s="368">
        <f>0</f>
        <v>0</v>
      </c>
      <c r="Q88" s="353">
        <v>434000</v>
      </c>
    </row>
    <row r="89" spans="1:17" ht="70.5" customHeight="1" x14ac:dyDescent="0.25">
      <c r="A89" s="305" t="s">
        <v>363</v>
      </c>
      <c r="B89" s="306">
        <v>70226148</v>
      </c>
      <c r="C89" s="303" t="s">
        <v>340</v>
      </c>
      <c r="D89" s="303" t="s">
        <v>1319</v>
      </c>
      <c r="E89" s="306"/>
      <c r="F89" s="306">
        <v>2925974</v>
      </c>
      <c r="G89" s="307" t="s">
        <v>1134</v>
      </c>
      <c r="H89" s="307" t="s">
        <v>314</v>
      </c>
      <c r="I89" s="330" t="s">
        <v>300</v>
      </c>
      <c r="J89" s="305">
        <v>8</v>
      </c>
      <c r="K89" s="307">
        <v>0</v>
      </c>
      <c r="L89" s="308">
        <v>5475600</v>
      </c>
      <c r="M89" s="308">
        <f>0</f>
        <v>0</v>
      </c>
      <c r="N89" s="308">
        <v>5475600</v>
      </c>
      <c r="O89" s="308">
        <v>700000</v>
      </c>
      <c r="P89" s="368">
        <f>0</f>
        <v>0</v>
      </c>
      <c r="Q89" s="353">
        <v>700000</v>
      </c>
    </row>
    <row r="90" spans="1:17" ht="70.5" customHeight="1" x14ac:dyDescent="0.25">
      <c r="A90" s="305" t="s">
        <v>197</v>
      </c>
      <c r="B90" s="306">
        <v>46749411</v>
      </c>
      <c r="C90" s="303" t="s">
        <v>318</v>
      </c>
      <c r="D90" s="303" t="s">
        <v>1314</v>
      </c>
      <c r="E90" s="306"/>
      <c r="F90" s="306">
        <v>3596108</v>
      </c>
      <c r="G90" s="307" t="s">
        <v>1148</v>
      </c>
      <c r="H90" s="307" t="s">
        <v>365</v>
      </c>
      <c r="I90" s="330" t="s">
        <v>294</v>
      </c>
      <c r="J90" s="305">
        <v>17</v>
      </c>
      <c r="K90" s="307">
        <v>0</v>
      </c>
      <c r="L90" s="308">
        <v>0</v>
      </c>
      <c r="M90" s="308">
        <f>0</f>
        <v>0</v>
      </c>
      <c r="N90" s="308">
        <v>0</v>
      </c>
      <c r="O90" s="308">
        <v>550000</v>
      </c>
      <c r="P90" s="368">
        <f>0</f>
        <v>0</v>
      </c>
      <c r="Q90" s="353">
        <v>550000</v>
      </c>
    </row>
    <row r="91" spans="1:17" ht="70.5" customHeight="1" x14ac:dyDescent="0.25">
      <c r="A91" s="305" t="s">
        <v>197</v>
      </c>
      <c r="B91" s="306">
        <v>46749411</v>
      </c>
      <c r="C91" s="303" t="s">
        <v>318</v>
      </c>
      <c r="D91" s="303" t="s">
        <v>1314</v>
      </c>
      <c r="E91" s="306"/>
      <c r="F91" s="306">
        <v>3865693</v>
      </c>
      <c r="G91" s="307" t="s">
        <v>1157</v>
      </c>
      <c r="H91" s="307" t="s">
        <v>337</v>
      </c>
      <c r="I91" s="330" t="s">
        <v>278</v>
      </c>
      <c r="J91" s="305">
        <v>8.5</v>
      </c>
      <c r="K91" s="307">
        <v>32</v>
      </c>
      <c r="L91" s="308">
        <v>5747553</v>
      </c>
      <c r="M91" s="308">
        <f>0</f>
        <v>0</v>
      </c>
      <c r="N91" s="308">
        <v>5747553</v>
      </c>
      <c r="O91" s="308">
        <v>426000</v>
      </c>
      <c r="P91" s="368">
        <f>0</f>
        <v>0</v>
      </c>
      <c r="Q91" s="353">
        <v>426000</v>
      </c>
    </row>
    <row r="92" spans="1:17" ht="70.5" customHeight="1" x14ac:dyDescent="0.25">
      <c r="A92" s="305" t="s">
        <v>197</v>
      </c>
      <c r="B92" s="306">
        <v>46749411</v>
      </c>
      <c r="C92" s="303" t="s">
        <v>318</v>
      </c>
      <c r="D92" s="303" t="s">
        <v>1314</v>
      </c>
      <c r="E92" s="306"/>
      <c r="F92" s="306">
        <v>5563434</v>
      </c>
      <c r="G92" s="307" t="s">
        <v>1193</v>
      </c>
      <c r="H92" s="307" t="s">
        <v>338</v>
      </c>
      <c r="I92" s="330" t="s">
        <v>269</v>
      </c>
      <c r="J92" s="305">
        <v>4</v>
      </c>
      <c r="K92" s="307">
        <v>0</v>
      </c>
      <c r="L92" s="308">
        <v>0</v>
      </c>
      <c r="M92" s="308">
        <f>0</f>
        <v>0</v>
      </c>
      <c r="N92" s="308">
        <v>0</v>
      </c>
      <c r="O92" s="308">
        <v>434000</v>
      </c>
      <c r="P92" s="368">
        <f>0</f>
        <v>0</v>
      </c>
      <c r="Q92" s="353">
        <v>434000</v>
      </c>
    </row>
    <row r="93" spans="1:17" ht="70.5" customHeight="1" x14ac:dyDescent="0.25">
      <c r="A93" s="305" t="s">
        <v>197</v>
      </c>
      <c r="B93" s="306">
        <v>46749411</v>
      </c>
      <c r="C93" s="303" t="s">
        <v>318</v>
      </c>
      <c r="D93" s="303" t="s">
        <v>1314</v>
      </c>
      <c r="E93" s="306"/>
      <c r="F93" s="306">
        <v>8208204</v>
      </c>
      <c r="G93" s="307" t="s">
        <v>1168</v>
      </c>
      <c r="H93" s="307" t="s">
        <v>343</v>
      </c>
      <c r="I93" s="330" t="s">
        <v>300</v>
      </c>
      <c r="J93" s="305">
        <v>20.5</v>
      </c>
      <c r="K93" s="307">
        <v>0</v>
      </c>
      <c r="L93" s="308">
        <v>0</v>
      </c>
      <c r="M93" s="308">
        <f>0</f>
        <v>0</v>
      </c>
      <c r="N93" s="308">
        <v>0</v>
      </c>
      <c r="O93" s="308">
        <v>550000</v>
      </c>
      <c r="P93" s="368">
        <f>0</f>
        <v>0</v>
      </c>
      <c r="Q93" s="353">
        <v>550000</v>
      </c>
    </row>
    <row r="94" spans="1:17" ht="70.5" customHeight="1" x14ac:dyDescent="0.25">
      <c r="A94" s="305" t="s">
        <v>366</v>
      </c>
      <c r="B94" s="306">
        <v>22871080</v>
      </c>
      <c r="C94" s="303" t="s">
        <v>288</v>
      </c>
      <c r="D94" s="303" t="s">
        <v>1315</v>
      </c>
      <c r="E94" s="306"/>
      <c r="F94" s="306">
        <v>6265472</v>
      </c>
      <c r="G94" s="307" t="s">
        <v>1199</v>
      </c>
      <c r="H94" s="307" t="s">
        <v>338</v>
      </c>
      <c r="I94" s="330" t="s">
        <v>269</v>
      </c>
      <c r="J94" s="305">
        <v>6</v>
      </c>
      <c r="K94" s="307">
        <v>0</v>
      </c>
      <c r="L94" s="308">
        <v>0</v>
      </c>
      <c r="M94" s="308">
        <f>0</f>
        <v>0</v>
      </c>
      <c r="N94" s="308">
        <v>0</v>
      </c>
      <c r="O94" s="308">
        <v>650000</v>
      </c>
      <c r="P94" s="368">
        <f>0</f>
        <v>0</v>
      </c>
      <c r="Q94" s="353">
        <v>650000</v>
      </c>
    </row>
    <row r="95" spans="1:17" ht="70.5" customHeight="1" x14ac:dyDescent="0.25">
      <c r="A95" s="305" t="s">
        <v>366</v>
      </c>
      <c r="B95" s="306">
        <v>22871080</v>
      </c>
      <c r="C95" s="303" t="s">
        <v>288</v>
      </c>
      <c r="D95" s="303" t="s">
        <v>1315</v>
      </c>
      <c r="E95" s="306"/>
      <c r="F95" s="306">
        <v>8899363</v>
      </c>
      <c r="G95" s="307" t="s">
        <v>1199</v>
      </c>
      <c r="H95" s="307" t="s">
        <v>343</v>
      </c>
      <c r="I95" s="330" t="s">
        <v>269</v>
      </c>
      <c r="J95" s="305">
        <v>5</v>
      </c>
      <c r="K95" s="307">
        <v>0</v>
      </c>
      <c r="L95" s="308">
        <v>0</v>
      </c>
      <c r="M95" s="308">
        <f>0</f>
        <v>0</v>
      </c>
      <c r="N95" s="308">
        <v>0</v>
      </c>
      <c r="O95" s="308">
        <v>542000</v>
      </c>
      <c r="P95" s="368">
        <f>0</f>
        <v>0</v>
      </c>
      <c r="Q95" s="353">
        <v>542000</v>
      </c>
    </row>
    <row r="96" spans="1:17" ht="70.5" customHeight="1" x14ac:dyDescent="0.25">
      <c r="A96" s="305" t="s">
        <v>215</v>
      </c>
      <c r="B96" s="306">
        <v>49295101</v>
      </c>
      <c r="C96" s="303" t="s">
        <v>288</v>
      </c>
      <c r="D96" s="303" t="s">
        <v>1316</v>
      </c>
      <c r="E96" s="306"/>
      <c r="F96" s="306">
        <v>7471836</v>
      </c>
      <c r="G96" s="307" t="s">
        <v>1175</v>
      </c>
      <c r="H96" s="307" t="s">
        <v>365</v>
      </c>
      <c r="I96" s="330" t="s">
        <v>294</v>
      </c>
      <c r="J96" s="305">
        <v>5</v>
      </c>
      <c r="K96" s="307">
        <v>0</v>
      </c>
      <c r="L96" s="308">
        <v>0</v>
      </c>
      <c r="M96" s="308">
        <f>0</f>
        <v>0</v>
      </c>
      <c r="N96" s="308">
        <v>0</v>
      </c>
      <c r="O96" s="308">
        <v>251000</v>
      </c>
      <c r="P96" s="368">
        <f>0</f>
        <v>0</v>
      </c>
      <c r="Q96" s="353">
        <v>251000</v>
      </c>
    </row>
    <row r="97" spans="1:17" ht="70.5" customHeight="1" x14ac:dyDescent="0.25">
      <c r="A97" s="305" t="s">
        <v>215</v>
      </c>
      <c r="B97" s="306">
        <v>49295101</v>
      </c>
      <c r="C97" s="303" t="s">
        <v>288</v>
      </c>
      <c r="D97" s="303" t="s">
        <v>1316</v>
      </c>
      <c r="E97" s="306"/>
      <c r="F97" s="306">
        <v>9314906</v>
      </c>
      <c r="G97" s="307" t="s">
        <v>1175</v>
      </c>
      <c r="H97" s="307" t="s">
        <v>297</v>
      </c>
      <c r="I97" s="330" t="s">
        <v>269</v>
      </c>
      <c r="J97" s="305">
        <v>2.2999999999999998</v>
      </c>
      <c r="K97" s="307">
        <v>0</v>
      </c>
      <c r="L97" s="308">
        <v>1309068</v>
      </c>
      <c r="M97" s="308">
        <f>0</f>
        <v>0</v>
      </c>
      <c r="N97" s="308">
        <v>1309068</v>
      </c>
      <c r="O97" s="308">
        <v>115000</v>
      </c>
      <c r="P97" s="368">
        <f>0</f>
        <v>0</v>
      </c>
      <c r="Q97" s="353">
        <v>115000</v>
      </c>
    </row>
    <row r="98" spans="1:17" ht="70.5" customHeight="1" x14ac:dyDescent="0.25">
      <c r="A98" s="305" t="s">
        <v>215</v>
      </c>
      <c r="B98" s="306">
        <v>49295101</v>
      </c>
      <c r="C98" s="303" t="s">
        <v>288</v>
      </c>
      <c r="D98" s="303" t="s">
        <v>1316</v>
      </c>
      <c r="E98" s="306"/>
      <c r="F98" s="306">
        <v>4661168</v>
      </c>
      <c r="G98" s="307" t="s">
        <v>1175</v>
      </c>
      <c r="H98" s="307" t="s">
        <v>338</v>
      </c>
      <c r="I98" s="330" t="s">
        <v>269</v>
      </c>
      <c r="J98" s="305">
        <v>5</v>
      </c>
      <c r="K98" s="307">
        <v>0</v>
      </c>
      <c r="L98" s="308">
        <v>0</v>
      </c>
      <c r="M98" s="308">
        <f>0</f>
        <v>0</v>
      </c>
      <c r="N98" s="308">
        <v>0</v>
      </c>
      <c r="O98" s="308">
        <v>400000</v>
      </c>
      <c r="P98" s="368">
        <f>0</f>
        <v>0</v>
      </c>
      <c r="Q98" s="353">
        <v>400000</v>
      </c>
    </row>
    <row r="99" spans="1:17" ht="70.5" customHeight="1" x14ac:dyDescent="0.25">
      <c r="A99" s="305" t="s">
        <v>92</v>
      </c>
      <c r="B99" s="306">
        <v>28700210</v>
      </c>
      <c r="C99" s="303" t="s">
        <v>318</v>
      </c>
      <c r="D99" s="303" t="s">
        <v>1318</v>
      </c>
      <c r="E99" s="306"/>
      <c r="F99" s="306">
        <v>9543067</v>
      </c>
      <c r="G99" s="307" t="s">
        <v>1234</v>
      </c>
      <c r="H99" s="307" t="s">
        <v>268</v>
      </c>
      <c r="I99" s="330" t="s">
        <v>300</v>
      </c>
      <c r="J99" s="305">
        <v>2.75</v>
      </c>
      <c r="K99" s="307">
        <v>0</v>
      </c>
      <c r="L99" s="308">
        <v>1786950</v>
      </c>
      <c r="M99" s="308">
        <f>0</f>
        <v>0</v>
      </c>
      <c r="N99" s="308">
        <v>1786950</v>
      </c>
      <c r="O99" s="308">
        <v>180000</v>
      </c>
      <c r="P99" s="368">
        <f>0</f>
        <v>0</v>
      </c>
      <c r="Q99" s="353">
        <v>180000</v>
      </c>
    </row>
    <row r="100" spans="1:17" ht="70.5" customHeight="1" x14ac:dyDescent="0.25">
      <c r="A100" s="305" t="s">
        <v>92</v>
      </c>
      <c r="B100" s="306">
        <v>28700210</v>
      </c>
      <c r="C100" s="303" t="s">
        <v>318</v>
      </c>
      <c r="D100" s="303" t="s">
        <v>1318</v>
      </c>
      <c r="E100" s="306"/>
      <c r="F100" s="314">
        <v>3069495</v>
      </c>
      <c r="G100" s="307" t="s">
        <v>1138</v>
      </c>
      <c r="H100" s="307" t="s">
        <v>283</v>
      </c>
      <c r="I100" s="330" t="s">
        <v>278</v>
      </c>
      <c r="J100" s="305">
        <v>6</v>
      </c>
      <c r="K100" s="307">
        <v>7</v>
      </c>
      <c r="L100" s="308">
        <v>3528000</v>
      </c>
      <c r="M100" s="308">
        <f>0</f>
        <v>0</v>
      </c>
      <c r="N100" s="308">
        <v>3528000</v>
      </c>
      <c r="O100" s="308">
        <v>301000</v>
      </c>
      <c r="P100" s="368">
        <f>0</f>
        <v>0</v>
      </c>
      <c r="Q100" s="353">
        <v>301000</v>
      </c>
    </row>
    <row r="101" spans="1:17" ht="70.5" customHeight="1" x14ac:dyDescent="0.25">
      <c r="A101" s="305" t="s">
        <v>92</v>
      </c>
      <c r="B101" s="306">
        <v>28700210</v>
      </c>
      <c r="C101" s="303" t="s">
        <v>318</v>
      </c>
      <c r="D101" s="303" t="s">
        <v>1318</v>
      </c>
      <c r="E101" s="306"/>
      <c r="F101" s="306">
        <v>4343228</v>
      </c>
      <c r="G101" s="307" t="s">
        <v>1138</v>
      </c>
      <c r="H101" s="307" t="s">
        <v>283</v>
      </c>
      <c r="I101" s="330" t="s">
        <v>294</v>
      </c>
      <c r="J101" s="305">
        <v>10</v>
      </c>
      <c r="K101" s="307">
        <v>0</v>
      </c>
      <c r="L101" s="308">
        <v>5919600</v>
      </c>
      <c r="M101" s="308">
        <f>0</f>
        <v>0</v>
      </c>
      <c r="N101" s="308">
        <v>5919600</v>
      </c>
      <c r="O101" s="308">
        <v>501000</v>
      </c>
      <c r="P101" s="368">
        <f>0</f>
        <v>0</v>
      </c>
      <c r="Q101" s="353">
        <v>501000</v>
      </c>
    </row>
    <row r="102" spans="1:17" ht="70.5" customHeight="1" x14ac:dyDescent="0.25">
      <c r="A102" s="305" t="s">
        <v>367</v>
      </c>
      <c r="B102" s="306">
        <v>70932522</v>
      </c>
      <c r="C102" s="303" t="s">
        <v>296</v>
      </c>
      <c r="D102" s="303" t="s">
        <v>1323</v>
      </c>
      <c r="E102" s="306" t="s">
        <v>1101</v>
      </c>
      <c r="F102" s="306">
        <v>6492623</v>
      </c>
      <c r="G102" s="307" t="s">
        <v>1164</v>
      </c>
      <c r="H102" s="307" t="s">
        <v>321</v>
      </c>
      <c r="I102" s="330" t="s">
        <v>294</v>
      </c>
      <c r="J102" s="305">
        <v>6</v>
      </c>
      <c r="K102" s="307">
        <v>0</v>
      </c>
      <c r="L102" s="308">
        <v>3960000</v>
      </c>
      <c r="M102" s="308">
        <f>0</f>
        <v>0</v>
      </c>
      <c r="N102" s="308">
        <v>3960000</v>
      </c>
      <c r="O102" s="308">
        <v>0</v>
      </c>
      <c r="P102" s="368">
        <f>0</f>
        <v>0</v>
      </c>
      <c r="Q102" s="353">
        <v>0</v>
      </c>
    </row>
    <row r="103" spans="1:17" ht="70.5" customHeight="1" x14ac:dyDescent="0.25">
      <c r="A103" s="305" t="s">
        <v>367</v>
      </c>
      <c r="B103" s="306">
        <v>70932522</v>
      </c>
      <c r="C103" s="303" t="s">
        <v>296</v>
      </c>
      <c r="D103" s="303" t="s">
        <v>1323</v>
      </c>
      <c r="E103" s="306" t="s">
        <v>1101</v>
      </c>
      <c r="F103" s="306">
        <v>9076392</v>
      </c>
      <c r="G103" s="307" t="s">
        <v>1227</v>
      </c>
      <c r="H103" s="307" t="s">
        <v>297</v>
      </c>
      <c r="I103" s="330" t="s">
        <v>269</v>
      </c>
      <c r="J103" s="305">
        <v>18.28</v>
      </c>
      <c r="K103" s="307">
        <v>0</v>
      </c>
      <c r="L103" s="308">
        <v>10404245</v>
      </c>
      <c r="M103" s="308">
        <f>0</f>
        <v>0</v>
      </c>
      <c r="N103" s="308">
        <v>10404245</v>
      </c>
      <c r="O103" s="308">
        <v>0</v>
      </c>
      <c r="P103" s="368">
        <f>0</f>
        <v>0</v>
      </c>
      <c r="Q103" s="353">
        <v>0</v>
      </c>
    </row>
    <row r="104" spans="1:17" ht="70.5" customHeight="1" x14ac:dyDescent="0.25">
      <c r="A104" s="305" t="s">
        <v>367</v>
      </c>
      <c r="B104" s="306">
        <v>70932522</v>
      </c>
      <c r="C104" s="303" t="s">
        <v>296</v>
      </c>
      <c r="D104" s="303" t="s">
        <v>1323</v>
      </c>
      <c r="E104" s="306" t="s">
        <v>1101</v>
      </c>
      <c r="F104" s="306">
        <v>8900016</v>
      </c>
      <c r="G104" s="307" t="s">
        <v>1225</v>
      </c>
      <c r="H104" s="307" t="s">
        <v>298</v>
      </c>
      <c r="I104" s="330" t="s">
        <v>278</v>
      </c>
      <c r="J104" s="305">
        <v>71.510000000000005</v>
      </c>
      <c r="K104" s="307">
        <v>65</v>
      </c>
      <c r="L104" s="308">
        <v>37120640</v>
      </c>
      <c r="M104" s="308">
        <f>0</f>
        <v>0</v>
      </c>
      <c r="N104" s="308">
        <v>37120640</v>
      </c>
      <c r="O104" s="308">
        <v>0</v>
      </c>
      <c r="P104" s="368">
        <f>0</f>
        <v>0</v>
      </c>
      <c r="Q104" s="353">
        <v>0</v>
      </c>
    </row>
    <row r="105" spans="1:17" ht="70.5" customHeight="1" x14ac:dyDescent="0.25">
      <c r="A105" s="305" t="s">
        <v>368</v>
      </c>
      <c r="B105" s="306">
        <v>22889159</v>
      </c>
      <c r="C105" s="303" t="s">
        <v>288</v>
      </c>
      <c r="D105" s="303" t="s">
        <v>1324</v>
      </c>
      <c r="E105" s="306"/>
      <c r="F105" s="306">
        <v>7555345</v>
      </c>
      <c r="G105" s="307" t="s">
        <v>1104</v>
      </c>
      <c r="H105" s="307" t="s">
        <v>331</v>
      </c>
      <c r="I105" s="330" t="s">
        <v>294</v>
      </c>
      <c r="J105" s="305">
        <v>1.25</v>
      </c>
      <c r="K105" s="307">
        <v>0</v>
      </c>
      <c r="L105" s="308">
        <v>877500</v>
      </c>
      <c r="M105" s="308">
        <f>0</f>
        <v>0</v>
      </c>
      <c r="N105" s="308">
        <v>877500</v>
      </c>
      <c r="O105" s="308">
        <v>136000</v>
      </c>
      <c r="P105" s="368">
        <f>0</f>
        <v>0</v>
      </c>
      <c r="Q105" s="353">
        <v>136000</v>
      </c>
    </row>
    <row r="106" spans="1:17" ht="70.5" customHeight="1" x14ac:dyDescent="0.25">
      <c r="A106" s="305" t="s">
        <v>369</v>
      </c>
      <c r="B106" s="306">
        <v>62695487</v>
      </c>
      <c r="C106" s="303" t="s">
        <v>267</v>
      </c>
      <c r="D106" s="303" t="s">
        <v>1325</v>
      </c>
      <c r="E106" s="306"/>
      <c r="F106" s="306">
        <v>2073130</v>
      </c>
      <c r="G106" s="307" t="s">
        <v>1115</v>
      </c>
      <c r="H106" s="307" t="s">
        <v>268</v>
      </c>
      <c r="I106" s="330" t="s">
        <v>300</v>
      </c>
      <c r="J106" s="305">
        <v>2</v>
      </c>
      <c r="K106" s="307">
        <v>0</v>
      </c>
      <c r="L106" s="308">
        <v>1299600</v>
      </c>
      <c r="M106" s="308">
        <f>0</f>
        <v>0</v>
      </c>
      <c r="N106" s="308">
        <v>1299600</v>
      </c>
      <c r="O106" s="308">
        <v>131000</v>
      </c>
      <c r="P106" s="368">
        <f>0</f>
        <v>0</v>
      </c>
      <c r="Q106" s="353">
        <v>131000</v>
      </c>
    </row>
    <row r="107" spans="1:17" ht="70.5" customHeight="1" x14ac:dyDescent="0.25">
      <c r="A107" s="305" t="s">
        <v>370</v>
      </c>
      <c r="B107" s="306">
        <v>75100967</v>
      </c>
      <c r="C107" s="303" t="s">
        <v>371</v>
      </c>
      <c r="D107" s="303" t="s">
        <v>1346</v>
      </c>
      <c r="E107" s="306"/>
      <c r="F107" s="306">
        <v>5957695</v>
      </c>
      <c r="G107" s="307" t="s">
        <v>1198</v>
      </c>
      <c r="H107" s="307" t="s">
        <v>325</v>
      </c>
      <c r="I107" s="330" t="s">
        <v>294</v>
      </c>
      <c r="J107" s="305">
        <v>3.5</v>
      </c>
      <c r="K107" s="307">
        <v>0</v>
      </c>
      <c r="L107" s="308">
        <v>1963650</v>
      </c>
      <c r="M107" s="308">
        <f>0</f>
        <v>0</v>
      </c>
      <c r="N107" s="308">
        <v>1963650</v>
      </c>
      <c r="O107" s="308">
        <v>0</v>
      </c>
      <c r="P107" s="368">
        <f>0</f>
        <v>0</v>
      </c>
      <c r="Q107" s="353">
        <v>0</v>
      </c>
    </row>
    <row r="108" spans="1:17" ht="70.5" customHeight="1" x14ac:dyDescent="0.25">
      <c r="A108" s="305" t="s">
        <v>113</v>
      </c>
      <c r="B108" s="309" t="s">
        <v>375</v>
      </c>
      <c r="C108" s="303" t="s">
        <v>288</v>
      </c>
      <c r="D108" s="303" t="s">
        <v>1329</v>
      </c>
      <c r="E108" s="309"/>
      <c r="F108" s="306">
        <v>7734736</v>
      </c>
      <c r="G108" s="307" t="s">
        <v>1092</v>
      </c>
      <c r="H108" s="307" t="s">
        <v>325</v>
      </c>
      <c r="I108" s="330" t="s">
        <v>294</v>
      </c>
      <c r="J108" s="305">
        <v>7.25</v>
      </c>
      <c r="K108" s="307">
        <v>0</v>
      </c>
      <c r="L108" s="308">
        <v>5394870</v>
      </c>
      <c r="M108" s="308">
        <f>0</f>
        <v>0</v>
      </c>
      <c r="N108" s="308">
        <v>5394870</v>
      </c>
      <c r="O108" s="308">
        <v>579000</v>
      </c>
      <c r="P108" s="368">
        <f>0</f>
        <v>0</v>
      </c>
      <c r="Q108" s="353">
        <v>579000</v>
      </c>
    </row>
    <row r="109" spans="1:17" ht="70.5" customHeight="1" x14ac:dyDescent="0.25">
      <c r="A109" s="305" t="s">
        <v>376</v>
      </c>
      <c r="B109" s="306">
        <v>71173854</v>
      </c>
      <c r="C109" s="303" t="s">
        <v>324</v>
      </c>
      <c r="D109" s="303" t="s">
        <v>1330</v>
      </c>
      <c r="E109" s="306"/>
      <c r="F109" s="306">
        <v>5285192</v>
      </c>
      <c r="G109" s="307" t="s">
        <v>1164</v>
      </c>
      <c r="H109" s="307" t="s">
        <v>321</v>
      </c>
      <c r="I109" s="330" t="s">
        <v>294</v>
      </c>
      <c r="J109" s="305">
        <v>1.6</v>
      </c>
      <c r="K109" s="307">
        <v>0</v>
      </c>
      <c r="L109" s="308">
        <v>520000</v>
      </c>
      <c r="M109" s="308">
        <f>0</f>
        <v>0</v>
      </c>
      <c r="N109" s="308">
        <v>520000</v>
      </c>
      <c r="O109" s="308">
        <v>0</v>
      </c>
      <c r="P109" s="368">
        <f>0</f>
        <v>0</v>
      </c>
      <c r="Q109" s="353">
        <v>0</v>
      </c>
    </row>
    <row r="110" spans="1:17" ht="70.5" customHeight="1" x14ac:dyDescent="0.25">
      <c r="A110" s="305" t="s">
        <v>376</v>
      </c>
      <c r="B110" s="306">
        <v>71173854</v>
      </c>
      <c r="C110" s="303" t="s">
        <v>324</v>
      </c>
      <c r="D110" s="303" t="s">
        <v>1330</v>
      </c>
      <c r="E110" s="306"/>
      <c r="F110" s="306">
        <v>5861633</v>
      </c>
      <c r="G110" s="307" t="s">
        <v>1120</v>
      </c>
      <c r="H110" s="307" t="s">
        <v>289</v>
      </c>
      <c r="I110" s="330" t="s">
        <v>269</v>
      </c>
      <c r="J110" s="305">
        <v>2.1</v>
      </c>
      <c r="K110" s="307">
        <v>0</v>
      </c>
      <c r="L110" s="308">
        <v>1137973</v>
      </c>
      <c r="M110" s="308">
        <f>0</f>
        <v>0</v>
      </c>
      <c r="N110" s="308">
        <v>1137973</v>
      </c>
      <c r="O110" s="308">
        <v>0</v>
      </c>
      <c r="P110" s="368">
        <f>0</f>
        <v>0</v>
      </c>
      <c r="Q110" s="353">
        <v>0</v>
      </c>
    </row>
    <row r="111" spans="1:17" ht="70.5" customHeight="1" x14ac:dyDescent="0.25">
      <c r="A111" s="305" t="s">
        <v>154</v>
      </c>
      <c r="B111" s="306">
        <v>25405080</v>
      </c>
      <c r="C111" s="303" t="s">
        <v>318</v>
      </c>
      <c r="D111" s="303" t="s">
        <v>1331</v>
      </c>
      <c r="E111" s="306"/>
      <c r="F111" s="306">
        <v>4873800</v>
      </c>
      <c r="G111" s="307" t="s">
        <v>154</v>
      </c>
      <c r="H111" s="307" t="s">
        <v>321</v>
      </c>
      <c r="I111" s="330" t="s">
        <v>294</v>
      </c>
      <c r="J111" s="305">
        <v>10.4</v>
      </c>
      <c r="K111" s="307">
        <v>0</v>
      </c>
      <c r="L111" s="308">
        <v>6500000</v>
      </c>
      <c r="M111" s="308">
        <f>0</f>
        <v>0</v>
      </c>
      <c r="N111" s="308">
        <v>6500000</v>
      </c>
      <c r="O111" s="308">
        <v>800000</v>
      </c>
      <c r="P111" s="368">
        <f>0</f>
        <v>0</v>
      </c>
      <c r="Q111" s="353">
        <v>800000</v>
      </c>
    </row>
    <row r="112" spans="1:17" ht="70.5" customHeight="1" x14ac:dyDescent="0.25">
      <c r="A112" s="305" t="s">
        <v>377</v>
      </c>
      <c r="B112" s="309" t="s">
        <v>378</v>
      </c>
      <c r="C112" s="303" t="s">
        <v>379</v>
      </c>
      <c r="D112" s="303" t="s">
        <v>1332</v>
      </c>
      <c r="E112" s="309"/>
      <c r="F112" s="306">
        <v>2700736</v>
      </c>
      <c r="G112" s="307" t="s">
        <v>1131</v>
      </c>
      <c r="H112" s="307" t="s">
        <v>325</v>
      </c>
      <c r="I112" s="330" t="s">
        <v>300</v>
      </c>
      <c r="J112" s="305">
        <v>4.9000000000000004</v>
      </c>
      <c r="K112" s="307">
        <v>0</v>
      </c>
      <c r="L112" s="308">
        <v>2744304</v>
      </c>
      <c r="M112" s="308">
        <f>0</f>
        <v>0</v>
      </c>
      <c r="N112" s="308">
        <v>2744304</v>
      </c>
      <c r="O112" s="308">
        <v>0</v>
      </c>
      <c r="P112" s="368">
        <f>0</f>
        <v>0</v>
      </c>
      <c r="Q112" s="353">
        <v>0</v>
      </c>
    </row>
    <row r="113" spans="1:17" ht="70.5" customHeight="1" x14ac:dyDescent="0.25">
      <c r="A113" s="305" t="s">
        <v>380</v>
      </c>
      <c r="B113" s="309" t="s">
        <v>381</v>
      </c>
      <c r="C113" s="303" t="s">
        <v>379</v>
      </c>
      <c r="D113" s="303" t="s">
        <v>1333</v>
      </c>
      <c r="E113" s="309"/>
      <c r="F113" s="306">
        <v>8598927</v>
      </c>
      <c r="G113" s="307" t="s">
        <v>380</v>
      </c>
      <c r="H113" s="307" t="s">
        <v>325</v>
      </c>
      <c r="I113" s="330" t="s">
        <v>294</v>
      </c>
      <c r="J113" s="305">
        <v>3.1</v>
      </c>
      <c r="K113" s="307">
        <v>0</v>
      </c>
      <c r="L113" s="308">
        <v>333708</v>
      </c>
      <c r="M113" s="308">
        <f>0</f>
        <v>0</v>
      </c>
      <c r="N113" s="308">
        <v>333708</v>
      </c>
      <c r="O113" s="308">
        <v>0</v>
      </c>
      <c r="P113" s="368">
        <f>0</f>
        <v>0</v>
      </c>
      <c r="Q113" s="353">
        <v>0</v>
      </c>
    </row>
    <row r="114" spans="1:17" ht="70.5" customHeight="1" x14ac:dyDescent="0.25">
      <c r="A114" s="305" t="s">
        <v>382</v>
      </c>
      <c r="B114" s="309" t="s">
        <v>383</v>
      </c>
      <c r="C114" s="303" t="s">
        <v>379</v>
      </c>
      <c r="D114" s="303" t="s">
        <v>1334</v>
      </c>
      <c r="E114" s="309"/>
      <c r="F114" s="306">
        <v>2088349</v>
      </c>
      <c r="G114" s="307" t="s">
        <v>1116</v>
      </c>
      <c r="H114" s="307" t="s">
        <v>325</v>
      </c>
      <c r="I114" s="330" t="s">
        <v>300</v>
      </c>
      <c r="J114" s="305">
        <v>5</v>
      </c>
      <c r="K114" s="307">
        <v>0</v>
      </c>
      <c r="L114" s="308">
        <v>2936070</v>
      </c>
      <c r="M114" s="308">
        <f>0</f>
        <v>0</v>
      </c>
      <c r="N114" s="308">
        <v>2936070</v>
      </c>
      <c r="O114" s="308">
        <v>0</v>
      </c>
      <c r="P114" s="368">
        <f>0</f>
        <v>0</v>
      </c>
      <c r="Q114" s="353">
        <v>0</v>
      </c>
    </row>
    <row r="115" spans="1:17" ht="70.5" customHeight="1" x14ac:dyDescent="0.25">
      <c r="A115" s="305" t="s">
        <v>384</v>
      </c>
      <c r="B115" s="309" t="s">
        <v>385</v>
      </c>
      <c r="C115" s="303" t="s">
        <v>379</v>
      </c>
      <c r="D115" s="303" t="s">
        <v>1335</v>
      </c>
      <c r="E115" s="309"/>
      <c r="F115" s="306">
        <v>3886672</v>
      </c>
      <c r="G115" s="307" t="s">
        <v>1158</v>
      </c>
      <c r="H115" s="307" t="s">
        <v>325</v>
      </c>
      <c r="I115" s="330" t="s">
        <v>300</v>
      </c>
      <c r="J115" s="305">
        <v>9.25</v>
      </c>
      <c r="K115" s="307">
        <v>0</v>
      </c>
      <c r="L115" s="308">
        <v>4393253</v>
      </c>
      <c r="M115" s="308">
        <f>0</f>
        <v>0</v>
      </c>
      <c r="N115" s="308">
        <v>4393253</v>
      </c>
      <c r="O115" s="308">
        <v>0</v>
      </c>
      <c r="P115" s="368">
        <f>0</f>
        <v>0</v>
      </c>
      <c r="Q115" s="353">
        <v>0</v>
      </c>
    </row>
    <row r="116" spans="1:17" ht="70.5" customHeight="1" x14ac:dyDescent="0.25">
      <c r="A116" s="305" t="s">
        <v>386</v>
      </c>
      <c r="B116" s="309" t="s">
        <v>387</v>
      </c>
      <c r="C116" s="303" t="s">
        <v>379</v>
      </c>
      <c r="D116" s="303" t="s">
        <v>1336</v>
      </c>
      <c r="E116" s="309"/>
      <c r="F116" s="306">
        <v>7777619</v>
      </c>
      <c r="G116" s="307" t="s">
        <v>1092</v>
      </c>
      <c r="H116" s="307" t="s">
        <v>325</v>
      </c>
      <c r="I116" s="330" t="s">
        <v>300</v>
      </c>
      <c r="J116" s="305">
        <v>7</v>
      </c>
      <c r="K116" s="307">
        <v>0</v>
      </c>
      <c r="L116" s="308">
        <v>2131648</v>
      </c>
      <c r="M116" s="308">
        <f>0</f>
        <v>0</v>
      </c>
      <c r="N116" s="308">
        <v>2131648</v>
      </c>
      <c r="O116" s="308">
        <v>0</v>
      </c>
      <c r="P116" s="368">
        <f>0</f>
        <v>0</v>
      </c>
      <c r="Q116" s="353">
        <v>0</v>
      </c>
    </row>
    <row r="117" spans="1:17" ht="70.5" customHeight="1" x14ac:dyDescent="0.25">
      <c r="A117" s="305" t="s">
        <v>388</v>
      </c>
      <c r="B117" s="309" t="s">
        <v>389</v>
      </c>
      <c r="C117" s="303" t="s">
        <v>379</v>
      </c>
      <c r="D117" s="303" t="s">
        <v>1337</v>
      </c>
      <c r="E117" s="309"/>
      <c r="F117" s="306">
        <v>2838544</v>
      </c>
      <c r="G117" s="307" t="s">
        <v>1092</v>
      </c>
      <c r="H117" s="307" t="s">
        <v>325</v>
      </c>
      <c r="I117" s="330" t="s">
        <v>300</v>
      </c>
      <c r="J117" s="305">
        <v>3.1</v>
      </c>
      <c r="K117" s="307">
        <v>0</v>
      </c>
      <c r="L117" s="308">
        <v>1278958</v>
      </c>
      <c r="M117" s="308">
        <f>0</f>
        <v>0</v>
      </c>
      <c r="N117" s="308">
        <v>1278958</v>
      </c>
      <c r="O117" s="308">
        <v>0</v>
      </c>
      <c r="P117" s="368">
        <f>0</f>
        <v>0</v>
      </c>
      <c r="Q117" s="353">
        <v>0</v>
      </c>
    </row>
    <row r="118" spans="1:17" ht="70.5" customHeight="1" x14ac:dyDescent="0.25">
      <c r="A118" s="305" t="s">
        <v>390</v>
      </c>
      <c r="B118" s="309" t="s">
        <v>391</v>
      </c>
      <c r="C118" s="303" t="s">
        <v>379</v>
      </c>
      <c r="D118" s="303" t="s">
        <v>1338</v>
      </c>
      <c r="E118" s="309"/>
      <c r="F118" s="306">
        <v>2084701</v>
      </c>
      <c r="G118" s="307" t="s">
        <v>1092</v>
      </c>
      <c r="H118" s="307" t="s">
        <v>325</v>
      </c>
      <c r="I118" s="330" t="s">
        <v>300</v>
      </c>
      <c r="J118" s="305">
        <v>10</v>
      </c>
      <c r="K118" s="307">
        <v>0</v>
      </c>
      <c r="L118" s="308">
        <v>4171928</v>
      </c>
      <c r="M118" s="308">
        <f>0</f>
        <v>0</v>
      </c>
      <c r="N118" s="308">
        <v>4171928</v>
      </c>
      <c r="O118" s="308">
        <v>0</v>
      </c>
      <c r="P118" s="368">
        <f>0</f>
        <v>0</v>
      </c>
      <c r="Q118" s="353">
        <v>0</v>
      </c>
    </row>
    <row r="119" spans="1:17" ht="70.5" customHeight="1" x14ac:dyDescent="0.25">
      <c r="A119" s="305" t="s">
        <v>392</v>
      </c>
      <c r="B119" s="309" t="s">
        <v>393</v>
      </c>
      <c r="C119" s="303" t="s">
        <v>379</v>
      </c>
      <c r="D119" s="303" t="s">
        <v>1339</v>
      </c>
      <c r="E119" s="309"/>
      <c r="F119" s="306">
        <v>1129034</v>
      </c>
      <c r="G119" s="307" t="s">
        <v>1092</v>
      </c>
      <c r="H119" s="307" t="s">
        <v>325</v>
      </c>
      <c r="I119" s="330" t="s">
        <v>294</v>
      </c>
      <c r="J119" s="305">
        <v>6.6</v>
      </c>
      <c r="K119" s="307">
        <v>0</v>
      </c>
      <c r="L119" s="308">
        <v>2729173</v>
      </c>
      <c r="M119" s="308">
        <f>0</f>
        <v>0</v>
      </c>
      <c r="N119" s="308">
        <v>2729173</v>
      </c>
      <c r="O119" s="308">
        <v>0</v>
      </c>
      <c r="P119" s="368">
        <f>0</f>
        <v>0</v>
      </c>
      <c r="Q119" s="353">
        <v>0</v>
      </c>
    </row>
    <row r="120" spans="1:17" ht="70.5" customHeight="1" x14ac:dyDescent="0.25">
      <c r="A120" s="305" t="s">
        <v>394</v>
      </c>
      <c r="B120" s="309" t="s">
        <v>395</v>
      </c>
      <c r="C120" s="303" t="s">
        <v>379</v>
      </c>
      <c r="D120" s="303" t="s">
        <v>1340</v>
      </c>
      <c r="E120" s="309"/>
      <c r="F120" s="306">
        <v>8227630</v>
      </c>
      <c r="G120" s="307" t="s">
        <v>1195</v>
      </c>
      <c r="H120" s="307" t="s">
        <v>325</v>
      </c>
      <c r="I120" s="330" t="s">
        <v>300</v>
      </c>
      <c r="J120" s="305">
        <v>3.5</v>
      </c>
      <c r="K120" s="307">
        <v>0</v>
      </c>
      <c r="L120" s="308">
        <v>1831524</v>
      </c>
      <c r="M120" s="308">
        <f>0</f>
        <v>0</v>
      </c>
      <c r="N120" s="308">
        <v>1831524</v>
      </c>
      <c r="O120" s="308">
        <v>0</v>
      </c>
      <c r="P120" s="368">
        <f>0</f>
        <v>0</v>
      </c>
      <c r="Q120" s="353">
        <v>0</v>
      </c>
    </row>
    <row r="121" spans="1:17" ht="70.5" customHeight="1" x14ac:dyDescent="0.25">
      <c r="A121" s="305" t="s">
        <v>396</v>
      </c>
      <c r="B121" s="309" t="s">
        <v>397</v>
      </c>
      <c r="C121" s="303" t="s">
        <v>379</v>
      </c>
      <c r="D121" s="303" t="s">
        <v>1341</v>
      </c>
      <c r="E121" s="309"/>
      <c r="F121" s="306">
        <v>2587147</v>
      </c>
      <c r="G121" s="307" t="s">
        <v>1128</v>
      </c>
      <c r="H121" s="307" t="s">
        <v>325</v>
      </c>
      <c r="I121" s="330" t="s">
        <v>294</v>
      </c>
      <c r="J121" s="305">
        <v>1.03</v>
      </c>
      <c r="K121" s="307">
        <v>0</v>
      </c>
      <c r="L121" s="308">
        <v>368404</v>
      </c>
      <c r="M121" s="308">
        <f>0</f>
        <v>0</v>
      </c>
      <c r="N121" s="308">
        <v>368404</v>
      </c>
      <c r="O121" s="308">
        <v>0</v>
      </c>
      <c r="P121" s="368">
        <f>0</f>
        <v>0</v>
      </c>
      <c r="Q121" s="353">
        <v>0</v>
      </c>
    </row>
    <row r="122" spans="1:17" ht="70.5" customHeight="1" x14ac:dyDescent="0.25">
      <c r="A122" s="305" t="s">
        <v>398</v>
      </c>
      <c r="B122" s="309" t="s">
        <v>399</v>
      </c>
      <c r="C122" s="303" t="s">
        <v>379</v>
      </c>
      <c r="D122" s="303" t="s">
        <v>1342</v>
      </c>
      <c r="E122" s="309"/>
      <c r="F122" s="306">
        <v>2552651</v>
      </c>
      <c r="G122" s="307" t="s">
        <v>1092</v>
      </c>
      <c r="H122" s="307" t="s">
        <v>325</v>
      </c>
      <c r="I122" s="330" t="s">
        <v>294</v>
      </c>
      <c r="J122" s="305">
        <v>2.5</v>
      </c>
      <c r="K122" s="307">
        <v>0</v>
      </c>
      <c r="L122" s="308">
        <v>1243125</v>
      </c>
      <c r="M122" s="308">
        <f>0</f>
        <v>0</v>
      </c>
      <c r="N122" s="308">
        <v>1243125</v>
      </c>
      <c r="O122" s="308">
        <v>0</v>
      </c>
      <c r="P122" s="368">
        <f>0</f>
        <v>0</v>
      </c>
      <c r="Q122" s="353">
        <v>0</v>
      </c>
    </row>
    <row r="123" spans="1:17" ht="70.5" customHeight="1" x14ac:dyDescent="0.25">
      <c r="A123" s="305" t="s">
        <v>400</v>
      </c>
      <c r="B123" s="309" t="s">
        <v>401</v>
      </c>
      <c r="C123" s="303" t="s">
        <v>379</v>
      </c>
      <c r="D123" s="303" t="s">
        <v>1343</v>
      </c>
      <c r="E123" s="309"/>
      <c r="F123" s="306">
        <v>2574699</v>
      </c>
      <c r="G123" s="307" t="s">
        <v>1127</v>
      </c>
      <c r="H123" s="307" t="s">
        <v>325</v>
      </c>
      <c r="I123" s="330" t="s">
        <v>300</v>
      </c>
      <c r="J123" s="305">
        <v>4</v>
      </c>
      <c r="K123" s="307">
        <v>0</v>
      </c>
      <c r="L123" s="308">
        <v>1630656</v>
      </c>
      <c r="M123" s="308">
        <f>0</f>
        <v>0</v>
      </c>
      <c r="N123" s="308">
        <v>1630656</v>
      </c>
      <c r="O123" s="308">
        <v>0</v>
      </c>
      <c r="P123" s="368">
        <f>0</f>
        <v>0</v>
      </c>
      <c r="Q123" s="353">
        <v>0</v>
      </c>
    </row>
    <row r="124" spans="1:17" ht="70.5" customHeight="1" x14ac:dyDescent="0.25">
      <c r="A124" s="305" t="s">
        <v>402</v>
      </c>
      <c r="B124" s="309" t="s">
        <v>403</v>
      </c>
      <c r="C124" s="303" t="s">
        <v>379</v>
      </c>
      <c r="D124" s="303" t="s">
        <v>1344</v>
      </c>
      <c r="E124" s="309"/>
      <c r="F124" s="306">
        <v>7207666</v>
      </c>
      <c r="G124" s="307" t="s">
        <v>402</v>
      </c>
      <c r="H124" s="307" t="s">
        <v>325</v>
      </c>
      <c r="I124" s="330" t="s">
        <v>294</v>
      </c>
      <c r="J124" s="305">
        <v>5.0999999999999996</v>
      </c>
      <c r="K124" s="307">
        <v>0</v>
      </c>
      <c r="L124" s="308">
        <v>719620</v>
      </c>
      <c r="M124" s="308">
        <f>0</f>
        <v>0</v>
      </c>
      <c r="N124" s="308">
        <v>719620</v>
      </c>
      <c r="O124" s="308">
        <v>0</v>
      </c>
      <c r="P124" s="368">
        <f>0</f>
        <v>0</v>
      </c>
      <c r="Q124" s="353">
        <v>0</v>
      </c>
    </row>
    <row r="125" spans="1:17" ht="70.5" customHeight="1" x14ac:dyDescent="0.25">
      <c r="A125" s="305" t="s">
        <v>404</v>
      </c>
      <c r="B125" s="309" t="s">
        <v>405</v>
      </c>
      <c r="C125" s="303" t="s">
        <v>379</v>
      </c>
      <c r="D125" s="303" t="s">
        <v>1345</v>
      </c>
      <c r="E125" s="309"/>
      <c r="F125" s="306">
        <v>2928724</v>
      </c>
      <c r="G125" s="307" t="s">
        <v>1092</v>
      </c>
      <c r="H125" s="307" t="s">
        <v>325</v>
      </c>
      <c r="I125" s="330" t="s">
        <v>300</v>
      </c>
      <c r="J125" s="305">
        <v>8.5</v>
      </c>
      <c r="K125" s="307">
        <v>0</v>
      </c>
      <c r="L125" s="308">
        <v>2164617</v>
      </c>
      <c r="M125" s="308">
        <f>0</f>
        <v>0</v>
      </c>
      <c r="N125" s="308">
        <v>2164617</v>
      </c>
      <c r="O125" s="308">
        <v>0</v>
      </c>
      <c r="P125" s="368">
        <f>0</f>
        <v>0</v>
      </c>
      <c r="Q125" s="353">
        <v>0</v>
      </c>
    </row>
    <row r="126" spans="1:17" ht="70.5" customHeight="1" x14ac:dyDescent="0.25">
      <c r="A126" s="305" t="s">
        <v>157</v>
      </c>
      <c r="B126" s="306">
        <v>63125137</v>
      </c>
      <c r="C126" s="303" t="s">
        <v>288</v>
      </c>
      <c r="D126" s="303" t="s">
        <v>1347</v>
      </c>
      <c r="E126" s="306"/>
      <c r="F126" s="306">
        <v>1220799</v>
      </c>
      <c r="G126" s="307" t="s">
        <v>1094</v>
      </c>
      <c r="H126" s="307" t="s">
        <v>406</v>
      </c>
      <c r="I126" s="330" t="s">
        <v>278</v>
      </c>
      <c r="J126" s="305">
        <v>4.09</v>
      </c>
      <c r="K126" s="307">
        <v>13</v>
      </c>
      <c r="L126" s="308">
        <v>4564308</v>
      </c>
      <c r="M126" s="308">
        <f>0</f>
        <v>0</v>
      </c>
      <c r="N126" s="308">
        <v>4564308</v>
      </c>
      <c r="O126" s="308">
        <v>444000</v>
      </c>
      <c r="P126" s="368">
        <f>0</f>
        <v>0</v>
      </c>
      <c r="Q126" s="353">
        <v>444000</v>
      </c>
    </row>
    <row r="127" spans="1:17" ht="70.5" customHeight="1" x14ac:dyDescent="0.25">
      <c r="A127" s="305" t="s">
        <v>157</v>
      </c>
      <c r="B127" s="306">
        <v>63125137</v>
      </c>
      <c r="C127" s="303" t="s">
        <v>288</v>
      </c>
      <c r="D127" s="303" t="s">
        <v>1347</v>
      </c>
      <c r="E127" s="306"/>
      <c r="F127" s="306">
        <v>1229581</v>
      </c>
      <c r="G127" s="307" t="s">
        <v>1096</v>
      </c>
      <c r="H127" s="307" t="s">
        <v>407</v>
      </c>
      <c r="I127" s="330" t="s">
        <v>269</v>
      </c>
      <c r="J127" s="305">
        <v>7</v>
      </c>
      <c r="K127" s="307">
        <v>0</v>
      </c>
      <c r="L127" s="308">
        <v>5323500</v>
      </c>
      <c r="M127" s="308">
        <v>1226041.8799999999</v>
      </c>
      <c r="N127" s="308">
        <v>4097458.12</v>
      </c>
      <c r="O127" s="308">
        <v>759000</v>
      </c>
      <c r="P127" s="368">
        <f>0</f>
        <v>0</v>
      </c>
      <c r="Q127" s="353">
        <v>759000</v>
      </c>
    </row>
    <row r="128" spans="1:17" ht="70.5" customHeight="1" x14ac:dyDescent="0.25">
      <c r="A128" s="305" t="s">
        <v>157</v>
      </c>
      <c r="B128" s="306">
        <v>63125137</v>
      </c>
      <c r="C128" s="303" t="s">
        <v>288</v>
      </c>
      <c r="D128" s="303" t="s">
        <v>1347</v>
      </c>
      <c r="E128" s="306"/>
      <c r="F128" s="306">
        <v>3801846</v>
      </c>
      <c r="G128" s="307" t="s">
        <v>1153</v>
      </c>
      <c r="H128" s="307" t="s">
        <v>407</v>
      </c>
      <c r="I128" s="330" t="s">
        <v>269</v>
      </c>
      <c r="J128" s="305">
        <v>3.65</v>
      </c>
      <c r="K128" s="307">
        <v>0</v>
      </c>
      <c r="L128" s="308">
        <v>2775825</v>
      </c>
      <c r="M128" s="308">
        <f>0</f>
        <v>0</v>
      </c>
      <c r="N128" s="308">
        <v>2775825</v>
      </c>
      <c r="O128" s="308">
        <v>395000</v>
      </c>
      <c r="P128" s="368">
        <f>0</f>
        <v>0</v>
      </c>
      <c r="Q128" s="353">
        <v>395000</v>
      </c>
    </row>
    <row r="129" spans="1:17" ht="70.5" customHeight="1" x14ac:dyDescent="0.25">
      <c r="A129" s="305" t="s">
        <v>157</v>
      </c>
      <c r="B129" s="306">
        <v>63125137</v>
      </c>
      <c r="C129" s="303" t="s">
        <v>288</v>
      </c>
      <c r="D129" s="303" t="s">
        <v>1347</v>
      </c>
      <c r="E129" s="306"/>
      <c r="F129" s="306">
        <v>3775974</v>
      </c>
      <c r="G129" s="307" t="s">
        <v>1152</v>
      </c>
      <c r="H129" s="307" t="s">
        <v>331</v>
      </c>
      <c r="I129" s="330" t="s">
        <v>294</v>
      </c>
      <c r="J129" s="305">
        <v>2</v>
      </c>
      <c r="K129" s="307">
        <v>0</v>
      </c>
      <c r="L129" s="308">
        <v>1404000</v>
      </c>
      <c r="M129" s="308">
        <f>0</f>
        <v>0</v>
      </c>
      <c r="N129" s="308">
        <v>1404000</v>
      </c>
      <c r="O129" s="308">
        <v>217000</v>
      </c>
      <c r="P129" s="368">
        <f>0</f>
        <v>0</v>
      </c>
      <c r="Q129" s="353">
        <v>217000</v>
      </c>
    </row>
    <row r="130" spans="1:17" ht="70.5" customHeight="1" x14ac:dyDescent="0.25">
      <c r="A130" s="305" t="s">
        <v>157</v>
      </c>
      <c r="B130" s="306">
        <v>63125137</v>
      </c>
      <c r="C130" s="303" t="s">
        <v>288</v>
      </c>
      <c r="D130" s="303" t="s">
        <v>1347</v>
      </c>
      <c r="E130" s="306"/>
      <c r="F130" s="306">
        <v>8306216</v>
      </c>
      <c r="G130" s="307" t="s">
        <v>1215</v>
      </c>
      <c r="H130" s="307" t="s">
        <v>331</v>
      </c>
      <c r="I130" s="330" t="s">
        <v>294</v>
      </c>
      <c r="J130" s="305">
        <v>10</v>
      </c>
      <c r="K130" s="307">
        <v>0</v>
      </c>
      <c r="L130" s="308">
        <v>7020000</v>
      </c>
      <c r="M130" s="308">
        <v>2472233.09</v>
      </c>
      <c r="N130" s="308">
        <v>4547766.91</v>
      </c>
      <c r="O130" s="308">
        <v>1084000</v>
      </c>
      <c r="P130" s="368">
        <f>0</f>
        <v>0</v>
      </c>
      <c r="Q130" s="353">
        <v>1084000</v>
      </c>
    </row>
    <row r="131" spans="1:17" ht="70.5" customHeight="1" x14ac:dyDescent="0.25">
      <c r="A131" s="305" t="s">
        <v>18</v>
      </c>
      <c r="B131" s="309" t="s">
        <v>408</v>
      </c>
      <c r="C131" s="303" t="s">
        <v>288</v>
      </c>
      <c r="D131" s="303" t="s">
        <v>1348</v>
      </c>
      <c r="E131" s="309"/>
      <c r="F131" s="306">
        <v>5918012</v>
      </c>
      <c r="G131" s="307" t="s">
        <v>1091</v>
      </c>
      <c r="H131" s="307" t="s">
        <v>364</v>
      </c>
      <c r="I131" s="330" t="s">
        <v>278</v>
      </c>
      <c r="J131" s="305">
        <v>4.55</v>
      </c>
      <c r="K131" s="307">
        <v>36</v>
      </c>
      <c r="L131" s="308">
        <v>2516550</v>
      </c>
      <c r="M131" s="308">
        <f>0</f>
        <v>0</v>
      </c>
      <c r="N131" s="308">
        <v>2516550</v>
      </c>
      <c r="O131" s="308">
        <v>493000</v>
      </c>
      <c r="P131" s="368">
        <f>0</f>
        <v>0</v>
      </c>
      <c r="Q131" s="353">
        <v>493000</v>
      </c>
    </row>
    <row r="132" spans="1:17" ht="70.5" customHeight="1" x14ac:dyDescent="0.25">
      <c r="A132" s="305" t="s">
        <v>18</v>
      </c>
      <c r="B132" s="309" t="s">
        <v>408</v>
      </c>
      <c r="C132" s="303" t="s">
        <v>288</v>
      </c>
      <c r="D132" s="303" t="s">
        <v>1348</v>
      </c>
      <c r="E132" s="309"/>
      <c r="F132" s="306">
        <v>1020591</v>
      </c>
      <c r="G132" s="307" t="s">
        <v>1091</v>
      </c>
      <c r="H132" s="307" t="s">
        <v>409</v>
      </c>
      <c r="I132" s="330" t="s">
        <v>269</v>
      </c>
      <c r="J132" s="305">
        <v>2.65</v>
      </c>
      <c r="K132" s="307">
        <v>0</v>
      </c>
      <c r="L132" s="308">
        <v>2067000</v>
      </c>
      <c r="M132" s="308">
        <f>0</f>
        <v>0</v>
      </c>
      <c r="N132" s="308">
        <v>2067000</v>
      </c>
      <c r="O132" s="308">
        <v>288000</v>
      </c>
      <c r="P132" s="368">
        <f>0</f>
        <v>0</v>
      </c>
      <c r="Q132" s="353">
        <v>288000</v>
      </c>
    </row>
    <row r="133" spans="1:17" ht="70.5" customHeight="1" x14ac:dyDescent="0.25">
      <c r="A133" s="305" t="s">
        <v>18</v>
      </c>
      <c r="B133" s="309" t="s">
        <v>408</v>
      </c>
      <c r="C133" s="303" t="s">
        <v>288</v>
      </c>
      <c r="D133" s="303" t="s">
        <v>1348</v>
      </c>
      <c r="E133" s="309"/>
      <c r="F133" s="306">
        <v>2481915</v>
      </c>
      <c r="G133" s="307" t="s">
        <v>1124</v>
      </c>
      <c r="H133" s="307" t="s">
        <v>409</v>
      </c>
      <c r="I133" s="330" t="s">
        <v>269</v>
      </c>
      <c r="J133" s="305">
        <v>3.5</v>
      </c>
      <c r="K133" s="307">
        <v>0</v>
      </c>
      <c r="L133" s="308">
        <v>2703000</v>
      </c>
      <c r="M133" s="308">
        <f>0</f>
        <v>0</v>
      </c>
      <c r="N133" s="308">
        <v>2703000</v>
      </c>
      <c r="O133" s="308">
        <v>380000</v>
      </c>
      <c r="P133" s="368">
        <f>0</f>
        <v>0</v>
      </c>
      <c r="Q133" s="353">
        <v>380000</v>
      </c>
    </row>
    <row r="134" spans="1:17" ht="70.5" customHeight="1" x14ac:dyDescent="0.25">
      <c r="A134" s="305" t="s">
        <v>18</v>
      </c>
      <c r="B134" s="309" t="s">
        <v>408</v>
      </c>
      <c r="C134" s="303" t="s">
        <v>288</v>
      </c>
      <c r="D134" s="303" t="s">
        <v>1348</v>
      </c>
      <c r="E134" s="309"/>
      <c r="F134" s="306">
        <v>1303151</v>
      </c>
      <c r="G134" s="307" t="s">
        <v>1100</v>
      </c>
      <c r="H134" s="307" t="s">
        <v>410</v>
      </c>
      <c r="I134" s="330" t="s">
        <v>269</v>
      </c>
      <c r="J134" s="305">
        <v>2.25</v>
      </c>
      <c r="K134" s="307">
        <v>25</v>
      </c>
      <c r="L134" s="308">
        <v>1276800</v>
      </c>
      <c r="M134" s="308">
        <f>0</f>
        <v>0</v>
      </c>
      <c r="N134" s="308">
        <v>1276800</v>
      </c>
      <c r="O134" s="308">
        <v>244000</v>
      </c>
      <c r="P134" s="368">
        <f>0</f>
        <v>0</v>
      </c>
      <c r="Q134" s="353">
        <v>244000</v>
      </c>
    </row>
    <row r="135" spans="1:17" ht="70.5" customHeight="1" x14ac:dyDescent="0.25">
      <c r="A135" s="305" t="s">
        <v>18</v>
      </c>
      <c r="B135" s="309" t="s">
        <v>408</v>
      </c>
      <c r="C135" s="303" t="s">
        <v>288</v>
      </c>
      <c r="D135" s="303" t="s">
        <v>1348</v>
      </c>
      <c r="E135" s="309"/>
      <c r="F135" s="306">
        <v>3822869</v>
      </c>
      <c r="G135" s="307" t="s">
        <v>1154</v>
      </c>
      <c r="H135" s="307" t="s">
        <v>410</v>
      </c>
      <c r="I135" s="330" t="s">
        <v>269</v>
      </c>
      <c r="J135" s="305">
        <v>2.15</v>
      </c>
      <c r="K135" s="307">
        <v>32</v>
      </c>
      <c r="L135" s="308">
        <v>1097250</v>
      </c>
      <c r="M135" s="308">
        <f>0</f>
        <v>0</v>
      </c>
      <c r="N135" s="308">
        <v>1097250</v>
      </c>
      <c r="O135" s="308">
        <v>234000</v>
      </c>
      <c r="P135" s="368">
        <f>0</f>
        <v>0</v>
      </c>
      <c r="Q135" s="353">
        <v>234000</v>
      </c>
    </row>
    <row r="136" spans="1:17" ht="70.5" customHeight="1" x14ac:dyDescent="0.25">
      <c r="A136" s="305" t="s">
        <v>18</v>
      </c>
      <c r="B136" s="309" t="s">
        <v>408</v>
      </c>
      <c r="C136" s="303" t="s">
        <v>288</v>
      </c>
      <c r="D136" s="303" t="s">
        <v>1348</v>
      </c>
      <c r="E136" s="309"/>
      <c r="F136" s="306">
        <v>1775589</v>
      </c>
      <c r="G136" s="307" t="s">
        <v>1111</v>
      </c>
      <c r="H136" s="307" t="s">
        <v>331</v>
      </c>
      <c r="I136" s="330" t="s">
        <v>294</v>
      </c>
      <c r="J136" s="305">
        <v>6.1</v>
      </c>
      <c r="K136" s="307">
        <v>0</v>
      </c>
      <c r="L136" s="308">
        <v>3155000</v>
      </c>
      <c r="M136" s="308">
        <f>0</f>
        <v>0</v>
      </c>
      <c r="N136" s="308">
        <v>3155000</v>
      </c>
      <c r="O136" s="308">
        <v>662000</v>
      </c>
      <c r="P136" s="368">
        <f>0</f>
        <v>0</v>
      </c>
      <c r="Q136" s="353">
        <v>662000</v>
      </c>
    </row>
    <row r="137" spans="1:17" ht="70.5" customHeight="1" x14ac:dyDescent="0.25">
      <c r="A137" s="305" t="s">
        <v>18</v>
      </c>
      <c r="B137" s="309" t="s">
        <v>408</v>
      </c>
      <c r="C137" s="303" t="s">
        <v>288</v>
      </c>
      <c r="D137" s="303" t="s">
        <v>1348</v>
      </c>
      <c r="E137" s="309"/>
      <c r="F137" s="306">
        <v>1420566</v>
      </c>
      <c r="G137" s="307" t="s">
        <v>1103</v>
      </c>
      <c r="H137" s="307" t="s">
        <v>331</v>
      </c>
      <c r="I137" s="330" t="s">
        <v>294</v>
      </c>
      <c r="J137" s="305">
        <v>3</v>
      </c>
      <c r="K137" s="307">
        <v>0</v>
      </c>
      <c r="L137" s="308">
        <v>2106000</v>
      </c>
      <c r="M137" s="308">
        <f>0</f>
        <v>0</v>
      </c>
      <c r="N137" s="308">
        <v>2106000</v>
      </c>
      <c r="O137" s="308">
        <v>326000</v>
      </c>
      <c r="P137" s="368">
        <f>0</f>
        <v>0</v>
      </c>
      <c r="Q137" s="353">
        <v>326000</v>
      </c>
    </row>
    <row r="138" spans="1:17" ht="70.5" customHeight="1" x14ac:dyDescent="0.25">
      <c r="A138" s="305" t="s">
        <v>18</v>
      </c>
      <c r="B138" s="309" t="s">
        <v>408</v>
      </c>
      <c r="C138" s="303" t="s">
        <v>288</v>
      </c>
      <c r="D138" s="303" t="s">
        <v>1348</v>
      </c>
      <c r="E138" s="309"/>
      <c r="F138" s="306">
        <v>9860755</v>
      </c>
      <c r="G138" s="307" t="s">
        <v>1091</v>
      </c>
      <c r="H138" s="307" t="s">
        <v>331</v>
      </c>
      <c r="I138" s="330" t="s">
        <v>294</v>
      </c>
      <c r="J138" s="305">
        <v>1</v>
      </c>
      <c r="K138" s="307">
        <v>0</v>
      </c>
      <c r="L138" s="308">
        <v>646000</v>
      </c>
      <c r="M138" s="308">
        <f>0</f>
        <v>0</v>
      </c>
      <c r="N138" s="308">
        <v>646000</v>
      </c>
      <c r="O138" s="308">
        <v>109000</v>
      </c>
      <c r="P138" s="368">
        <f>0</f>
        <v>0</v>
      </c>
      <c r="Q138" s="353">
        <v>109000</v>
      </c>
    </row>
    <row r="139" spans="1:17" ht="70.5" customHeight="1" x14ac:dyDescent="0.25">
      <c r="A139" s="305" t="s">
        <v>97</v>
      </c>
      <c r="B139" s="306">
        <v>26623064</v>
      </c>
      <c r="C139" s="303" t="s">
        <v>267</v>
      </c>
      <c r="D139" s="303" t="s">
        <v>1349</v>
      </c>
      <c r="E139" s="306" t="s">
        <v>1118</v>
      </c>
      <c r="F139" s="306">
        <v>2284277</v>
      </c>
      <c r="G139" s="307" t="s">
        <v>1119</v>
      </c>
      <c r="H139" s="307" t="s">
        <v>268</v>
      </c>
      <c r="I139" s="330" t="s">
        <v>300</v>
      </c>
      <c r="J139" s="305">
        <v>0.26</v>
      </c>
      <c r="K139" s="307">
        <v>0</v>
      </c>
      <c r="L139" s="308">
        <v>0</v>
      </c>
      <c r="M139" s="308">
        <f>0</f>
        <v>0</v>
      </c>
      <c r="N139" s="308">
        <v>0</v>
      </c>
      <c r="O139" s="308">
        <v>17000</v>
      </c>
      <c r="P139" s="368">
        <f>0</f>
        <v>0</v>
      </c>
      <c r="Q139" s="353">
        <v>17000</v>
      </c>
    </row>
    <row r="140" spans="1:17" ht="70.5" customHeight="1" x14ac:dyDescent="0.25">
      <c r="A140" s="305" t="s">
        <v>97</v>
      </c>
      <c r="B140" s="306">
        <v>26623064</v>
      </c>
      <c r="C140" s="303" t="s">
        <v>267</v>
      </c>
      <c r="D140" s="303" t="s">
        <v>1349</v>
      </c>
      <c r="E140" s="306" t="s">
        <v>1118</v>
      </c>
      <c r="F140" s="306">
        <v>9864940</v>
      </c>
      <c r="G140" s="307" t="s">
        <v>1138</v>
      </c>
      <c r="H140" s="307" t="s">
        <v>283</v>
      </c>
      <c r="I140" s="330" t="s">
        <v>278</v>
      </c>
      <c r="J140" s="305">
        <v>0.39</v>
      </c>
      <c r="K140" s="307">
        <v>4</v>
      </c>
      <c r="L140" s="308">
        <v>0</v>
      </c>
      <c r="M140" s="308">
        <f>0</f>
        <v>0</v>
      </c>
      <c r="N140" s="308">
        <v>0</v>
      </c>
      <c r="O140" s="308">
        <v>32000</v>
      </c>
      <c r="P140" s="368">
        <f>0</f>
        <v>0</v>
      </c>
      <c r="Q140" s="353">
        <v>32000</v>
      </c>
    </row>
    <row r="141" spans="1:17" ht="70.5" customHeight="1" x14ac:dyDescent="0.25">
      <c r="A141" s="305" t="s">
        <v>97</v>
      </c>
      <c r="B141" s="306">
        <v>26623064</v>
      </c>
      <c r="C141" s="303" t="s">
        <v>267</v>
      </c>
      <c r="D141" s="303" t="s">
        <v>1349</v>
      </c>
      <c r="E141" s="306" t="s">
        <v>1118</v>
      </c>
      <c r="F141" s="306">
        <v>7472903</v>
      </c>
      <c r="G141" s="307" t="s">
        <v>1212</v>
      </c>
      <c r="H141" s="307" t="s">
        <v>314</v>
      </c>
      <c r="I141" s="330" t="s">
        <v>300</v>
      </c>
      <c r="J141" s="305">
        <v>0.3</v>
      </c>
      <c r="K141" s="307">
        <v>0</v>
      </c>
      <c r="L141" s="308">
        <v>0</v>
      </c>
      <c r="M141" s="308">
        <f>0</f>
        <v>0</v>
      </c>
      <c r="N141" s="308">
        <v>0</v>
      </c>
      <c r="O141" s="308">
        <v>42000</v>
      </c>
      <c r="P141" s="368">
        <f>0</f>
        <v>0</v>
      </c>
      <c r="Q141" s="353">
        <v>42000</v>
      </c>
    </row>
    <row r="142" spans="1:17" ht="70.5" customHeight="1" x14ac:dyDescent="0.25">
      <c r="A142" s="305" t="s">
        <v>97</v>
      </c>
      <c r="B142" s="306">
        <v>26623064</v>
      </c>
      <c r="C142" s="303" t="s">
        <v>267</v>
      </c>
      <c r="D142" s="303" t="s">
        <v>1349</v>
      </c>
      <c r="E142" s="306" t="s">
        <v>1118</v>
      </c>
      <c r="F142" s="306">
        <v>4319542</v>
      </c>
      <c r="G142" s="307" t="s">
        <v>1097</v>
      </c>
      <c r="H142" s="307" t="s">
        <v>308</v>
      </c>
      <c r="I142" s="330" t="s">
        <v>269</v>
      </c>
      <c r="J142" s="305">
        <v>0.21</v>
      </c>
      <c r="K142" s="307">
        <v>0</v>
      </c>
      <c r="L142" s="308">
        <v>0</v>
      </c>
      <c r="M142" s="308">
        <f>0</f>
        <v>0</v>
      </c>
      <c r="N142" s="308">
        <v>0</v>
      </c>
      <c r="O142" s="308">
        <v>28000</v>
      </c>
      <c r="P142" s="368">
        <f>0</f>
        <v>0</v>
      </c>
      <c r="Q142" s="353">
        <v>28000</v>
      </c>
    </row>
    <row r="143" spans="1:17" ht="70.5" customHeight="1" x14ac:dyDescent="0.25">
      <c r="A143" s="305" t="s">
        <v>120</v>
      </c>
      <c r="B143" s="306">
        <v>27323773</v>
      </c>
      <c r="C143" s="303" t="s">
        <v>318</v>
      </c>
      <c r="D143" s="303" t="s">
        <v>1350</v>
      </c>
      <c r="E143" s="306"/>
      <c r="F143" s="306">
        <v>6224406</v>
      </c>
      <c r="G143" s="307" t="s">
        <v>120</v>
      </c>
      <c r="H143" s="307" t="s">
        <v>364</v>
      </c>
      <c r="I143" s="330" t="s">
        <v>278</v>
      </c>
      <c r="J143" s="305">
        <v>6</v>
      </c>
      <c r="K143" s="307">
        <v>25</v>
      </c>
      <c r="L143" s="308">
        <v>3277500</v>
      </c>
      <c r="M143" s="308">
        <f>0</f>
        <v>0</v>
      </c>
      <c r="N143" s="308">
        <v>3277500</v>
      </c>
      <c r="O143" s="308">
        <v>650000</v>
      </c>
      <c r="P143" s="368">
        <f>0</f>
        <v>0</v>
      </c>
      <c r="Q143" s="353">
        <v>650000</v>
      </c>
    </row>
    <row r="144" spans="1:17" ht="70.5" customHeight="1" x14ac:dyDescent="0.25">
      <c r="A144" s="305" t="s">
        <v>411</v>
      </c>
      <c r="B144" s="306">
        <v>27323773</v>
      </c>
      <c r="C144" s="303" t="s">
        <v>318</v>
      </c>
      <c r="D144" s="303" t="s">
        <v>1350</v>
      </c>
      <c r="E144" s="306"/>
      <c r="F144" s="306">
        <v>7228496</v>
      </c>
      <c r="G144" s="307" t="s">
        <v>120</v>
      </c>
      <c r="H144" s="307" t="s">
        <v>364</v>
      </c>
      <c r="I144" s="330" t="s">
        <v>278</v>
      </c>
      <c r="J144" s="305">
        <v>8</v>
      </c>
      <c r="K144" s="307">
        <v>22</v>
      </c>
      <c r="L144" s="308">
        <v>3353196</v>
      </c>
      <c r="M144" s="308">
        <f>0</f>
        <v>0</v>
      </c>
      <c r="N144" s="308">
        <v>3353196</v>
      </c>
      <c r="O144" s="308">
        <v>867000</v>
      </c>
      <c r="P144" s="368">
        <f>0</f>
        <v>0</v>
      </c>
      <c r="Q144" s="353">
        <v>867000</v>
      </c>
    </row>
    <row r="145" spans="1:17" ht="70.5" customHeight="1" x14ac:dyDescent="0.25">
      <c r="A145" s="305" t="s">
        <v>412</v>
      </c>
      <c r="B145" s="309" t="s">
        <v>413</v>
      </c>
      <c r="C145" s="303" t="s">
        <v>324</v>
      </c>
      <c r="D145" s="303" t="s">
        <v>1351</v>
      </c>
      <c r="E145" s="309"/>
      <c r="F145" s="306">
        <v>3702507</v>
      </c>
      <c r="G145" s="307" t="s">
        <v>1151</v>
      </c>
      <c r="H145" s="307" t="s">
        <v>414</v>
      </c>
      <c r="I145" s="330" t="s">
        <v>278</v>
      </c>
      <c r="J145" s="305">
        <v>3.03</v>
      </c>
      <c r="K145" s="307">
        <v>5</v>
      </c>
      <c r="L145" s="308">
        <v>840000</v>
      </c>
      <c r="M145" s="308">
        <f>0</f>
        <v>0</v>
      </c>
      <c r="N145" s="308">
        <v>840000</v>
      </c>
      <c r="O145" s="308">
        <v>0</v>
      </c>
      <c r="P145" s="368">
        <f>0</f>
        <v>0</v>
      </c>
      <c r="Q145" s="353">
        <v>0</v>
      </c>
    </row>
    <row r="146" spans="1:17" ht="70.5" customHeight="1" x14ac:dyDescent="0.25">
      <c r="A146" s="305" t="s">
        <v>415</v>
      </c>
      <c r="B146" s="309" t="s">
        <v>416</v>
      </c>
      <c r="C146" s="303" t="s">
        <v>324</v>
      </c>
      <c r="D146" s="303" t="s">
        <v>1352</v>
      </c>
      <c r="E146" s="309"/>
      <c r="F146" s="306">
        <v>3682159</v>
      </c>
      <c r="G146" s="307" t="s">
        <v>415</v>
      </c>
      <c r="H146" s="307" t="s">
        <v>414</v>
      </c>
      <c r="I146" s="330" t="s">
        <v>278</v>
      </c>
      <c r="J146" s="305">
        <v>2.5</v>
      </c>
      <c r="K146" s="307">
        <v>4</v>
      </c>
      <c r="L146" s="308">
        <v>672000</v>
      </c>
      <c r="M146" s="308">
        <v>191667</v>
      </c>
      <c r="N146" s="308">
        <v>480333</v>
      </c>
      <c r="O146" s="308">
        <v>0</v>
      </c>
      <c r="P146" s="368">
        <f>0</f>
        <v>0</v>
      </c>
      <c r="Q146" s="353">
        <v>0</v>
      </c>
    </row>
    <row r="147" spans="1:17" ht="70.5" customHeight="1" x14ac:dyDescent="0.25">
      <c r="A147" s="305" t="s">
        <v>417</v>
      </c>
      <c r="B147" s="306">
        <v>27283518</v>
      </c>
      <c r="C147" s="303" t="s">
        <v>282</v>
      </c>
      <c r="D147" s="303" t="s">
        <v>1353</v>
      </c>
      <c r="E147" s="306"/>
      <c r="F147" s="306">
        <v>4501907</v>
      </c>
      <c r="G147" s="307" t="s">
        <v>1172</v>
      </c>
      <c r="H147" s="307" t="s">
        <v>414</v>
      </c>
      <c r="I147" s="330" t="s">
        <v>278</v>
      </c>
      <c r="J147" s="305">
        <v>0.4</v>
      </c>
      <c r="K147" s="307">
        <v>5</v>
      </c>
      <c r="L147" s="308">
        <v>0</v>
      </c>
      <c r="M147" s="308">
        <f>0</f>
        <v>0</v>
      </c>
      <c r="N147" s="308">
        <v>0</v>
      </c>
      <c r="O147" s="308">
        <v>0</v>
      </c>
      <c r="P147" s="368">
        <f>0</f>
        <v>0</v>
      </c>
      <c r="Q147" s="353">
        <v>0</v>
      </c>
    </row>
    <row r="148" spans="1:17" ht="70.5" customHeight="1" x14ac:dyDescent="0.25">
      <c r="A148" s="305" t="s">
        <v>136</v>
      </c>
      <c r="B148" s="306">
        <v>26636328</v>
      </c>
      <c r="C148" s="303" t="s">
        <v>288</v>
      </c>
      <c r="D148" s="303" t="s">
        <v>1354</v>
      </c>
      <c r="E148" s="306"/>
      <c r="F148" s="306">
        <v>8791447</v>
      </c>
      <c r="G148" s="307" t="s">
        <v>1224</v>
      </c>
      <c r="H148" s="307" t="s">
        <v>268</v>
      </c>
      <c r="I148" s="330" t="s">
        <v>300</v>
      </c>
      <c r="J148" s="305">
        <v>1.2</v>
      </c>
      <c r="K148" s="307">
        <v>0</v>
      </c>
      <c r="L148" s="308">
        <v>779760</v>
      </c>
      <c r="M148" s="308">
        <f>0</f>
        <v>0</v>
      </c>
      <c r="N148" s="308">
        <v>779760</v>
      </c>
      <c r="O148" s="308">
        <v>78000</v>
      </c>
      <c r="P148" s="368">
        <f>0</f>
        <v>0</v>
      </c>
      <c r="Q148" s="353">
        <v>78000</v>
      </c>
    </row>
    <row r="149" spans="1:17" ht="70.5" customHeight="1" x14ac:dyDescent="0.25">
      <c r="A149" s="305" t="s">
        <v>136</v>
      </c>
      <c r="B149" s="306">
        <v>26636328</v>
      </c>
      <c r="C149" s="303" t="s">
        <v>288</v>
      </c>
      <c r="D149" s="303" t="s">
        <v>1354</v>
      </c>
      <c r="E149" s="306"/>
      <c r="F149" s="306">
        <v>6374958</v>
      </c>
      <c r="G149" s="307" t="s">
        <v>1200</v>
      </c>
      <c r="H149" s="307" t="s">
        <v>314</v>
      </c>
      <c r="I149" s="330" t="s">
        <v>300</v>
      </c>
      <c r="J149" s="305">
        <v>2.25</v>
      </c>
      <c r="K149" s="307">
        <v>0</v>
      </c>
      <c r="L149" s="308">
        <v>1540013</v>
      </c>
      <c r="M149" s="308">
        <f>0</f>
        <v>0</v>
      </c>
      <c r="N149" s="308">
        <v>1540013</v>
      </c>
      <c r="O149" s="308">
        <v>217000</v>
      </c>
      <c r="P149" s="368">
        <f>0</f>
        <v>0</v>
      </c>
      <c r="Q149" s="353">
        <v>217000</v>
      </c>
    </row>
    <row r="150" spans="1:17" ht="70.5" customHeight="1" x14ac:dyDescent="0.25">
      <c r="A150" s="305" t="s">
        <v>136</v>
      </c>
      <c r="B150" s="306">
        <v>26636328</v>
      </c>
      <c r="C150" s="303" t="s">
        <v>288</v>
      </c>
      <c r="D150" s="303" t="s">
        <v>1354</v>
      </c>
      <c r="E150" s="306"/>
      <c r="F150" s="306">
        <v>3910140</v>
      </c>
      <c r="G150" s="307" t="s">
        <v>1125</v>
      </c>
      <c r="H150" s="307" t="s">
        <v>314</v>
      </c>
      <c r="I150" s="330" t="s">
        <v>300</v>
      </c>
      <c r="J150" s="305">
        <v>5</v>
      </c>
      <c r="K150" s="307">
        <v>0</v>
      </c>
      <c r="L150" s="308">
        <v>3422250</v>
      </c>
      <c r="M150" s="308">
        <f>0</f>
        <v>0</v>
      </c>
      <c r="N150" s="308">
        <v>3422250</v>
      </c>
      <c r="O150" s="308">
        <v>542000</v>
      </c>
      <c r="P150" s="368">
        <f>0</f>
        <v>0</v>
      </c>
      <c r="Q150" s="353">
        <v>542000</v>
      </c>
    </row>
    <row r="151" spans="1:17" ht="70.5" customHeight="1" x14ac:dyDescent="0.25">
      <c r="A151" s="305" t="s">
        <v>136</v>
      </c>
      <c r="B151" s="306">
        <v>26636328</v>
      </c>
      <c r="C151" s="303" t="s">
        <v>288</v>
      </c>
      <c r="D151" s="303" t="s">
        <v>1354</v>
      </c>
      <c r="E151" s="306"/>
      <c r="F151" s="306">
        <v>8054292</v>
      </c>
      <c r="G151" s="307" t="s">
        <v>1097</v>
      </c>
      <c r="H151" s="307" t="s">
        <v>308</v>
      </c>
      <c r="I151" s="330" t="s">
        <v>300</v>
      </c>
      <c r="J151" s="305">
        <v>1.95</v>
      </c>
      <c r="K151" s="307">
        <v>0</v>
      </c>
      <c r="L151" s="308">
        <v>1263600</v>
      </c>
      <c r="M151" s="308">
        <f>0</f>
        <v>0</v>
      </c>
      <c r="N151" s="308">
        <v>1263600</v>
      </c>
      <c r="O151" s="308">
        <v>148000</v>
      </c>
      <c r="P151" s="368">
        <f>0</f>
        <v>0</v>
      </c>
      <c r="Q151" s="353">
        <v>148000</v>
      </c>
    </row>
    <row r="152" spans="1:17" ht="70.5" customHeight="1" x14ac:dyDescent="0.25">
      <c r="A152" s="305" t="s">
        <v>136</v>
      </c>
      <c r="B152" s="306">
        <v>26636328</v>
      </c>
      <c r="C152" s="303" t="s">
        <v>288</v>
      </c>
      <c r="D152" s="303" t="s">
        <v>1354</v>
      </c>
      <c r="E152" s="306"/>
      <c r="F152" s="306">
        <v>5063729</v>
      </c>
      <c r="G152" s="307" t="s">
        <v>1181</v>
      </c>
      <c r="H152" s="307" t="s">
        <v>331</v>
      </c>
      <c r="I152" s="330" t="s">
        <v>294</v>
      </c>
      <c r="J152" s="305">
        <v>1.2</v>
      </c>
      <c r="K152" s="307">
        <v>0</v>
      </c>
      <c r="L152" s="308">
        <v>842400</v>
      </c>
      <c r="M152" s="308">
        <f>0</f>
        <v>0</v>
      </c>
      <c r="N152" s="308">
        <v>842400</v>
      </c>
      <c r="O152" s="308">
        <v>92000</v>
      </c>
      <c r="P152" s="368">
        <f>0</f>
        <v>0</v>
      </c>
      <c r="Q152" s="353">
        <v>92000</v>
      </c>
    </row>
    <row r="153" spans="1:17" ht="70.5" customHeight="1" x14ac:dyDescent="0.25">
      <c r="A153" s="305" t="s">
        <v>418</v>
      </c>
      <c r="B153" s="309" t="s">
        <v>419</v>
      </c>
      <c r="C153" s="303" t="s">
        <v>379</v>
      </c>
      <c r="D153" s="303" t="s">
        <v>1355</v>
      </c>
      <c r="E153" s="309"/>
      <c r="F153" s="306">
        <v>7177985</v>
      </c>
      <c r="G153" s="307" t="s">
        <v>1211</v>
      </c>
      <c r="H153" s="307" t="s">
        <v>325</v>
      </c>
      <c r="I153" s="330" t="s">
        <v>294</v>
      </c>
      <c r="J153" s="305">
        <v>3.6</v>
      </c>
      <c r="K153" s="307">
        <v>0</v>
      </c>
      <c r="L153" s="308">
        <v>1960818</v>
      </c>
      <c r="M153" s="308">
        <f>0</f>
        <v>0</v>
      </c>
      <c r="N153" s="308">
        <v>1960818</v>
      </c>
      <c r="O153" s="308">
        <v>0</v>
      </c>
      <c r="P153" s="368">
        <f>0</f>
        <v>0</v>
      </c>
      <c r="Q153" s="353">
        <v>0</v>
      </c>
    </row>
    <row r="154" spans="1:17" ht="70.5" customHeight="1" x14ac:dyDescent="0.25">
      <c r="A154" s="305" t="s">
        <v>422</v>
      </c>
      <c r="B154" s="309" t="s">
        <v>423</v>
      </c>
      <c r="C154" s="303" t="s">
        <v>379</v>
      </c>
      <c r="D154" s="303" t="s">
        <v>1356</v>
      </c>
      <c r="E154" s="309"/>
      <c r="F154" s="306">
        <v>3415850</v>
      </c>
      <c r="G154" s="307" t="s">
        <v>1145</v>
      </c>
      <c r="H154" s="307" t="s">
        <v>325</v>
      </c>
      <c r="I154" s="330" t="s">
        <v>294</v>
      </c>
      <c r="J154" s="305">
        <v>2.7</v>
      </c>
      <c r="K154" s="307">
        <v>0</v>
      </c>
      <c r="L154" s="308">
        <v>1117758</v>
      </c>
      <c r="M154" s="308">
        <f>0</f>
        <v>0</v>
      </c>
      <c r="N154" s="308">
        <v>1117758</v>
      </c>
      <c r="O154" s="308">
        <v>0</v>
      </c>
      <c r="P154" s="368">
        <f>0</f>
        <v>0</v>
      </c>
      <c r="Q154" s="353">
        <v>0</v>
      </c>
    </row>
    <row r="155" spans="1:17" ht="70.5" customHeight="1" x14ac:dyDescent="0.25">
      <c r="A155" s="305" t="s">
        <v>424</v>
      </c>
      <c r="B155" s="309" t="s">
        <v>425</v>
      </c>
      <c r="C155" s="303" t="s">
        <v>379</v>
      </c>
      <c r="D155" s="303" t="s">
        <v>1357</v>
      </c>
      <c r="E155" s="309"/>
      <c r="F155" s="306">
        <v>3005927</v>
      </c>
      <c r="G155" s="307" t="s">
        <v>1137</v>
      </c>
      <c r="H155" s="307" t="s">
        <v>325</v>
      </c>
      <c r="I155" s="330" t="s">
        <v>294</v>
      </c>
      <c r="J155" s="305">
        <v>1.6</v>
      </c>
      <c r="K155" s="307">
        <v>0</v>
      </c>
      <c r="L155" s="308">
        <v>420462</v>
      </c>
      <c r="M155" s="308">
        <f>0</f>
        <v>0</v>
      </c>
      <c r="N155" s="308">
        <v>420462</v>
      </c>
      <c r="O155" s="308">
        <v>0</v>
      </c>
      <c r="P155" s="368">
        <f>0</f>
        <v>0</v>
      </c>
      <c r="Q155" s="353">
        <v>0</v>
      </c>
    </row>
    <row r="156" spans="1:17" ht="70.5" customHeight="1" x14ac:dyDescent="0.25">
      <c r="A156" s="305" t="s">
        <v>426</v>
      </c>
      <c r="B156" s="309" t="s">
        <v>427</v>
      </c>
      <c r="C156" s="303" t="s">
        <v>379</v>
      </c>
      <c r="D156" s="303" t="s">
        <v>1358</v>
      </c>
      <c r="E156" s="309"/>
      <c r="F156" s="306">
        <v>3977219</v>
      </c>
      <c r="G156" s="307" t="s">
        <v>1159</v>
      </c>
      <c r="H156" s="307" t="s">
        <v>325</v>
      </c>
      <c r="I156" s="330" t="s">
        <v>294</v>
      </c>
      <c r="J156" s="305">
        <v>2</v>
      </c>
      <c r="K156" s="307">
        <v>0</v>
      </c>
      <c r="L156" s="308">
        <v>358176</v>
      </c>
      <c r="M156" s="308">
        <f>0</f>
        <v>0</v>
      </c>
      <c r="N156" s="308">
        <v>358176</v>
      </c>
      <c r="O156" s="308">
        <v>0</v>
      </c>
      <c r="P156" s="368">
        <f>0</f>
        <v>0</v>
      </c>
      <c r="Q156" s="353">
        <v>0</v>
      </c>
    </row>
    <row r="157" spans="1:17" ht="70.5" customHeight="1" x14ac:dyDescent="0.25">
      <c r="A157" s="305" t="s">
        <v>146</v>
      </c>
      <c r="B157" s="309" t="s">
        <v>430</v>
      </c>
      <c r="C157" s="303" t="s">
        <v>340</v>
      </c>
      <c r="D157" s="303" t="s">
        <v>1359</v>
      </c>
      <c r="E157" s="309"/>
      <c r="F157" s="306">
        <v>2584331</v>
      </c>
      <c r="G157" s="307" t="s">
        <v>1125</v>
      </c>
      <c r="H157" s="307" t="s">
        <v>314</v>
      </c>
      <c r="I157" s="330" t="s">
        <v>300</v>
      </c>
      <c r="J157" s="305">
        <v>1</v>
      </c>
      <c r="K157" s="307">
        <v>0</v>
      </c>
      <c r="L157" s="308">
        <v>684450</v>
      </c>
      <c r="M157" s="308">
        <v>334870</v>
      </c>
      <c r="N157" s="308">
        <v>349580</v>
      </c>
      <c r="O157" s="308">
        <v>109000</v>
      </c>
      <c r="P157" s="369">
        <v>75000</v>
      </c>
      <c r="Q157" s="353">
        <v>34000</v>
      </c>
    </row>
    <row r="158" spans="1:17" ht="70.5" customHeight="1" x14ac:dyDescent="0.25">
      <c r="A158" s="305" t="s">
        <v>431</v>
      </c>
      <c r="B158" s="306">
        <v>26520699</v>
      </c>
      <c r="C158" s="303" t="s">
        <v>340</v>
      </c>
      <c r="D158" s="303" t="s">
        <v>1320</v>
      </c>
      <c r="E158" s="306"/>
      <c r="F158" s="306">
        <v>6940940</v>
      </c>
      <c r="G158" s="307" t="s">
        <v>1207</v>
      </c>
      <c r="H158" s="307" t="s">
        <v>285</v>
      </c>
      <c r="I158" s="330" t="s">
        <v>278</v>
      </c>
      <c r="J158" s="305">
        <v>9.4499999999999993</v>
      </c>
      <c r="K158" s="307">
        <v>20</v>
      </c>
      <c r="L158" s="308">
        <v>3474800</v>
      </c>
      <c r="M158" s="308">
        <f>0</f>
        <v>0</v>
      </c>
      <c r="N158" s="308">
        <v>3474800</v>
      </c>
      <c r="O158" s="308">
        <v>474000</v>
      </c>
      <c r="P158" s="368">
        <f>0</f>
        <v>0</v>
      </c>
      <c r="Q158" s="353">
        <v>474000</v>
      </c>
    </row>
    <row r="159" spans="1:17" ht="70.5" customHeight="1" x14ac:dyDescent="0.25">
      <c r="A159" s="305" t="s">
        <v>431</v>
      </c>
      <c r="B159" s="306">
        <v>26520699</v>
      </c>
      <c r="C159" s="303" t="s">
        <v>340</v>
      </c>
      <c r="D159" s="303" t="s">
        <v>1320</v>
      </c>
      <c r="E159" s="306"/>
      <c r="F159" s="306">
        <v>3146268</v>
      </c>
      <c r="G159" s="307" t="s">
        <v>1140</v>
      </c>
      <c r="H159" s="307" t="s">
        <v>364</v>
      </c>
      <c r="I159" s="330" t="s">
        <v>278</v>
      </c>
      <c r="J159" s="305">
        <v>4.5</v>
      </c>
      <c r="K159" s="307">
        <v>17</v>
      </c>
      <c r="L159" s="308">
        <v>2591106</v>
      </c>
      <c r="M159" s="308">
        <f>0</f>
        <v>0</v>
      </c>
      <c r="N159" s="308">
        <v>2591106</v>
      </c>
      <c r="O159" s="308">
        <v>488000</v>
      </c>
      <c r="P159" s="368">
        <f>0</f>
        <v>0</v>
      </c>
      <c r="Q159" s="353">
        <v>488000</v>
      </c>
    </row>
    <row r="160" spans="1:17" ht="70.5" customHeight="1" x14ac:dyDescent="0.25">
      <c r="A160" s="305" t="s">
        <v>431</v>
      </c>
      <c r="B160" s="306">
        <v>26520699</v>
      </c>
      <c r="C160" s="303" t="s">
        <v>340</v>
      </c>
      <c r="D160" s="303" t="s">
        <v>1320</v>
      </c>
      <c r="E160" s="306"/>
      <c r="F160" s="306">
        <v>9958898</v>
      </c>
      <c r="G160" s="307" t="s">
        <v>1238</v>
      </c>
      <c r="H160" s="307" t="s">
        <v>364</v>
      </c>
      <c r="I160" s="330" t="s">
        <v>278</v>
      </c>
      <c r="J160" s="305">
        <v>4.5</v>
      </c>
      <c r="K160" s="307">
        <v>17</v>
      </c>
      <c r="L160" s="308">
        <v>2591106</v>
      </c>
      <c r="M160" s="308">
        <f>0</f>
        <v>0</v>
      </c>
      <c r="N160" s="308">
        <v>2591106</v>
      </c>
      <c r="O160" s="308">
        <v>488000</v>
      </c>
      <c r="P160" s="368">
        <f>0</f>
        <v>0</v>
      </c>
      <c r="Q160" s="353">
        <v>488000</v>
      </c>
    </row>
    <row r="161" spans="1:17" ht="70.5" customHeight="1" x14ac:dyDescent="0.25">
      <c r="A161" s="305" t="s">
        <v>432</v>
      </c>
      <c r="B161" s="306">
        <v>70828920</v>
      </c>
      <c r="C161" s="303" t="s">
        <v>340</v>
      </c>
      <c r="D161" s="303" t="s">
        <v>1321</v>
      </c>
      <c r="E161" s="306"/>
      <c r="F161" s="306">
        <v>5070480</v>
      </c>
      <c r="G161" s="307" t="s">
        <v>1182</v>
      </c>
      <c r="H161" s="307" t="s">
        <v>268</v>
      </c>
      <c r="I161" s="330" t="s">
        <v>269</v>
      </c>
      <c r="J161" s="305">
        <v>0.3</v>
      </c>
      <c r="K161" s="307">
        <v>0</v>
      </c>
      <c r="L161" s="308">
        <v>194940</v>
      </c>
      <c r="M161" s="308">
        <f>0</f>
        <v>0</v>
      </c>
      <c r="N161" s="308">
        <v>194940</v>
      </c>
      <c r="O161" s="308">
        <v>20000</v>
      </c>
      <c r="P161" s="368">
        <f>0</f>
        <v>0</v>
      </c>
      <c r="Q161" s="353">
        <v>20000</v>
      </c>
    </row>
    <row r="162" spans="1:17" ht="70.5" customHeight="1" x14ac:dyDescent="0.25">
      <c r="A162" s="305" t="s">
        <v>432</v>
      </c>
      <c r="B162" s="306">
        <v>70828920</v>
      </c>
      <c r="C162" s="303" t="s">
        <v>340</v>
      </c>
      <c r="D162" s="303" t="s">
        <v>1321</v>
      </c>
      <c r="E162" s="306"/>
      <c r="F162" s="306">
        <v>8696715</v>
      </c>
      <c r="G162" s="307" t="s">
        <v>1221</v>
      </c>
      <c r="H162" s="307" t="s">
        <v>330</v>
      </c>
      <c r="I162" s="330" t="s">
        <v>300</v>
      </c>
      <c r="J162" s="305">
        <v>6.2</v>
      </c>
      <c r="K162" s="307">
        <v>0</v>
      </c>
      <c r="L162" s="308">
        <v>5077800</v>
      </c>
      <c r="M162" s="308">
        <f>0</f>
        <v>0</v>
      </c>
      <c r="N162" s="308">
        <v>5077800</v>
      </c>
      <c r="O162" s="308">
        <v>673000</v>
      </c>
      <c r="P162" s="368">
        <f>0</f>
        <v>0</v>
      </c>
      <c r="Q162" s="353">
        <v>673000</v>
      </c>
    </row>
    <row r="163" spans="1:17" ht="70.5" customHeight="1" x14ac:dyDescent="0.25">
      <c r="A163" s="305" t="s">
        <v>432</v>
      </c>
      <c r="B163" s="306">
        <v>70828920</v>
      </c>
      <c r="C163" s="303" t="s">
        <v>340</v>
      </c>
      <c r="D163" s="303" t="s">
        <v>1321</v>
      </c>
      <c r="E163" s="306"/>
      <c r="F163" s="306">
        <v>1807508</v>
      </c>
      <c r="G163" s="307" t="s">
        <v>1112</v>
      </c>
      <c r="H163" s="307" t="s">
        <v>330</v>
      </c>
      <c r="I163" s="330" t="s">
        <v>300</v>
      </c>
      <c r="J163" s="305">
        <v>3</v>
      </c>
      <c r="K163" s="307">
        <v>0</v>
      </c>
      <c r="L163" s="308">
        <v>2457000</v>
      </c>
      <c r="M163" s="308">
        <f>0</f>
        <v>0</v>
      </c>
      <c r="N163" s="308">
        <v>2457000</v>
      </c>
      <c r="O163" s="308">
        <v>326000</v>
      </c>
      <c r="P163" s="368">
        <f>0</f>
        <v>0</v>
      </c>
      <c r="Q163" s="353">
        <v>326000</v>
      </c>
    </row>
    <row r="164" spans="1:17" ht="70.5" customHeight="1" x14ac:dyDescent="0.25">
      <c r="A164" s="305" t="s">
        <v>432</v>
      </c>
      <c r="B164" s="306">
        <v>70828920</v>
      </c>
      <c r="C164" s="303" t="s">
        <v>340</v>
      </c>
      <c r="D164" s="303" t="s">
        <v>1321</v>
      </c>
      <c r="E164" s="306"/>
      <c r="F164" s="306">
        <v>8501960</v>
      </c>
      <c r="G164" s="307" t="s">
        <v>1218</v>
      </c>
      <c r="H164" s="307" t="s">
        <v>330</v>
      </c>
      <c r="I164" s="330" t="s">
        <v>269</v>
      </c>
      <c r="J164" s="305">
        <v>1.8</v>
      </c>
      <c r="K164" s="307">
        <v>0</v>
      </c>
      <c r="L164" s="308">
        <v>1474200</v>
      </c>
      <c r="M164" s="308">
        <f>0</f>
        <v>0</v>
      </c>
      <c r="N164" s="308">
        <v>1474200</v>
      </c>
      <c r="O164" s="308">
        <v>195000</v>
      </c>
      <c r="P164" s="368">
        <f>0</f>
        <v>0</v>
      </c>
      <c r="Q164" s="353">
        <v>195000</v>
      </c>
    </row>
    <row r="165" spans="1:17" ht="70.5" customHeight="1" x14ac:dyDescent="0.25">
      <c r="A165" s="305" t="s">
        <v>433</v>
      </c>
      <c r="B165" s="306">
        <v>48282944</v>
      </c>
      <c r="C165" s="303" t="s">
        <v>296</v>
      </c>
      <c r="D165" s="303" t="s">
        <v>1360</v>
      </c>
      <c r="E165" s="306" t="s">
        <v>1101</v>
      </c>
      <c r="F165" s="306">
        <v>7759833</v>
      </c>
      <c r="G165" s="307" t="s">
        <v>433</v>
      </c>
      <c r="H165" s="307" t="s">
        <v>298</v>
      </c>
      <c r="I165" s="330" t="s">
        <v>278</v>
      </c>
      <c r="J165" s="305">
        <v>42.75</v>
      </c>
      <c r="K165" s="307">
        <v>30</v>
      </c>
      <c r="L165" s="308">
        <v>18313800</v>
      </c>
      <c r="M165" s="308">
        <f>0</f>
        <v>0</v>
      </c>
      <c r="N165" s="308">
        <v>18313800</v>
      </c>
      <c r="O165" s="308">
        <v>0</v>
      </c>
      <c r="P165" s="368">
        <f>0</f>
        <v>0</v>
      </c>
      <c r="Q165" s="353">
        <v>0</v>
      </c>
    </row>
    <row r="166" spans="1:17" ht="70.5" customHeight="1" x14ac:dyDescent="0.25">
      <c r="A166" s="305" t="s">
        <v>434</v>
      </c>
      <c r="B166" s="306">
        <v>27284506</v>
      </c>
      <c r="C166" s="303" t="s">
        <v>318</v>
      </c>
      <c r="D166" s="303" t="s">
        <v>1361</v>
      </c>
      <c r="E166" s="306"/>
      <c r="F166" s="306">
        <v>6967411</v>
      </c>
      <c r="G166" s="307" t="s">
        <v>1208</v>
      </c>
      <c r="H166" s="307" t="s">
        <v>285</v>
      </c>
      <c r="I166" s="330" t="s">
        <v>278</v>
      </c>
      <c r="J166" s="305">
        <v>20</v>
      </c>
      <c r="K166" s="307">
        <v>26</v>
      </c>
      <c r="L166" s="308">
        <v>5171400</v>
      </c>
      <c r="M166" s="308">
        <f>0</f>
        <v>0</v>
      </c>
      <c r="N166" s="308">
        <v>5171400</v>
      </c>
      <c r="O166" s="308">
        <v>0</v>
      </c>
      <c r="P166" s="368">
        <f>0</f>
        <v>0</v>
      </c>
      <c r="Q166" s="353">
        <v>0</v>
      </c>
    </row>
    <row r="167" spans="1:17" ht="70.5" customHeight="1" x14ac:dyDescent="0.25">
      <c r="A167" s="311" t="s">
        <v>434</v>
      </c>
      <c r="B167" s="306">
        <v>27284506</v>
      </c>
      <c r="C167" s="303" t="s">
        <v>318</v>
      </c>
      <c r="D167" s="303" t="s">
        <v>1361</v>
      </c>
      <c r="E167" s="306"/>
      <c r="F167" s="306">
        <v>2572767</v>
      </c>
      <c r="G167" s="307" t="s">
        <v>1126</v>
      </c>
      <c r="H167" s="307" t="s">
        <v>290</v>
      </c>
      <c r="I167" s="330" t="s">
        <v>278</v>
      </c>
      <c r="J167" s="305">
        <v>19</v>
      </c>
      <c r="K167" s="307">
        <v>46</v>
      </c>
      <c r="L167" s="308">
        <v>14115802</v>
      </c>
      <c r="M167" s="308">
        <f>0</f>
        <v>0</v>
      </c>
      <c r="N167" s="308">
        <v>14115802</v>
      </c>
      <c r="O167" s="308">
        <v>0</v>
      </c>
      <c r="P167" s="368">
        <f>0</f>
        <v>0</v>
      </c>
      <c r="Q167" s="353">
        <v>0</v>
      </c>
    </row>
    <row r="168" spans="1:17" ht="70.5" customHeight="1" x14ac:dyDescent="0.25">
      <c r="A168" s="305" t="s">
        <v>435</v>
      </c>
      <c r="B168" s="306">
        <v>72744723</v>
      </c>
      <c r="C168" s="303" t="s">
        <v>324</v>
      </c>
      <c r="D168" s="303" t="s">
        <v>1362</v>
      </c>
      <c r="E168" s="306"/>
      <c r="F168" s="306">
        <v>6191395</v>
      </c>
      <c r="G168" s="307" t="s">
        <v>1092</v>
      </c>
      <c r="H168" s="307" t="s">
        <v>325</v>
      </c>
      <c r="I168" s="330" t="s">
        <v>300</v>
      </c>
      <c r="J168" s="305">
        <v>6.5</v>
      </c>
      <c r="K168" s="307">
        <v>0</v>
      </c>
      <c r="L168" s="308">
        <v>2486913</v>
      </c>
      <c r="M168" s="308">
        <f>0</f>
        <v>0</v>
      </c>
      <c r="N168" s="308">
        <v>2486913</v>
      </c>
      <c r="O168" s="308">
        <v>0</v>
      </c>
      <c r="P168" s="368">
        <f>0</f>
        <v>0</v>
      </c>
      <c r="Q168" s="353">
        <v>0</v>
      </c>
    </row>
    <row r="169" spans="1:17" ht="70.5" customHeight="1" x14ac:dyDescent="0.25">
      <c r="A169" s="305" t="s">
        <v>436</v>
      </c>
      <c r="B169" s="306">
        <v>71177248</v>
      </c>
      <c r="C169" s="303" t="s">
        <v>324</v>
      </c>
      <c r="D169" s="303" t="s">
        <v>1363</v>
      </c>
      <c r="E169" s="306"/>
      <c r="F169" s="306">
        <v>5475959</v>
      </c>
      <c r="G169" s="307" t="s">
        <v>1192</v>
      </c>
      <c r="H169" s="307" t="s">
        <v>325</v>
      </c>
      <c r="I169" s="330" t="s">
        <v>300</v>
      </c>
      <c r="J169" s="305">
        <v>5</v>
      </c>
      <c r="K169" s="307">
        <v>0</v>
      </c>
      <c r="L169" s="308">
        <v>2437500</v>
      </c>
      <c r="M169" s="308">
        <f>0</f>
        <v>0</v>
      </c>
      <c r="N169" s="308">
        <v>2437500</v>
      </c>
      <c r="O169" s="308">
        <v>0</v>
      </c>
      <c r="P169" s="368">
        <f>0</f>
        <v>0</v>
      </c>
      <c r="Q169" s="353">
        <v>0</v>
      </c>
    </row>
    <row r="170" spans="1:17" ht="70.5" customHeight="1" x14ac:dyDescent="0.25">
      <c r="A170" s="311" t="s">
        <v>437</v>
      </c>
      <c r="B170" s="312">
        <v>8163936</v>
      </c>
      <c r="C170" s="303" t="s">
        <v>324</v>
      </c>
      <c r="D170" s="303" t="s">
        <v>1364</v>
      </c>
      <c r="E170" s="312"/>
      <c r="F170" s="312">
        <v>7663161</v>
      </c>
      <c r="G170" s="310" t="s">
        <v>1092</v>
      </c>
      <c r="H170" s="310" t="s">
        <v>325</v>
      </c>
      <c r="I170" s="331"/>
      <c r="J170" s="305">
        <v>9</v>
      </c>
      <c r="K170" s="307">
        <v>0</v>
      </c>
      <c r="L170" s="308">
        <v>3114423</v>
      </c>
      <c r="M170" s="308">
        <f>0</f>
        <v>0</v>
      </c>
      <c r="N170" s="308">
        <v>3114423</v>
      </c>
      <c r="O170" s="308">
        <v>0</v>
      </c>
      <c r="P170" s="368">
        <f>0</f>
        <v>0</v>
      </c>
      <c r="Q170" s="353">
        <v>0</v>
      </c>
    </row>
    <row r="171" spans="1:17" ht="70.5" customHeight="1" x14ac:dyDescent="0.25">
      <c r="A171" s="305" t="s">
        <v>438</v>
      </c>
      <c r="B171" s="306">
        <v>25447726</v>
      </c>
      <c r="C171" s="303" t="s">
        <v>318</v>
      </c>
      <c r="D171" s="303" t="s">
        <v>1367</v>
      </c>
      <c r="E171" s="306"/>
      <c r="F171" s="306">
        <v>2049573</v>
      </c>
      <c r="G171" s="307" t="s">
        <v>1043</v>
      </c>
      <c r="H171" s="307" t="s">
        <v>321</v>
      </c>
      <c r="I171" s="330" t="s">
        <v>294</v>
      </c>
      <c r="J171" s="305">
        <v>29.75</v>
      </c>
      <c r="K171" s="307">
        <v>0</v>
      </c>
      <c r="L171" s="308">
        <v>14900000</v>
      </c>
      <c r="M171" s="308">
        <f>0</f>
        <v>0</v>
      </c>
      <c r="N171" s="308">
        <v>14900000</v>
      </c>
      <c r="O171" s="308">
        <v>0</v>
      </c>
      <c r="P171" s="368">
        <f>0</f>
        <v>0</v>
      </c>
      <c r="Q171" s="353">
        <v>0</v>
      </c>
    </row>
    <row r="172" spans="1:17" ht="70.5" customHeight="1" x14ac:dyDescent="0.25">
      <c r="A172" s="305" t="s">
        <v>210</v>
      </c>
      <c r="B172" s="306">
        <v>27004295</v>
      </c>
      <c r="C172" s="303" t="s">
        <v>267</v>
      </c>
      <c r="D172" s="303" t="s">
        <v>1368</v>
      </c>
      <c r="E172" s="306"/>
      <c r="F172" s="306">
        <v>2930990</v>
      </c>
      <c r="G172" s="307" t="s">
        <v>1135</v>
      </c>
      <c r="H172" s="307" t="s">
        <v>330</v>
      </c>
      <c r="I172" s="330" t="s">
        <v>300</v>
      </c>
      <c r="J172" s="305">
        <v>5</v>
      </c>
      <c r="K172" s="307">
        <v>0</v>
      </c>
      <c r="L172" s="308">
        <v>3141940</v>
      </c>
      <c r="M172" s="308">
        <f>0</f>
        <v>0</v>
      </c>
      <c r="N172" s="308">
        <v>3141940</v>
      </c>
      <c r="O172" s="308">
        <v>542000</v>
      </c>
      <c r="P172" s="368">
        <f>0</f>
        <v>0</v>
      </c>
      <c r="Q172" s="353">
        <v>542000</v>
      </c>
    </row>
    <row r="173" spans="1:17" ht="70.5" customHeight="1" x14ac:dyDescent="0.25">
      <c r="A173" s="305" t="s">
        <v>56</v>
      </c>
      <c r="B173" s="306">
        <v>22829903</v>
      </c>
      <c r="C173" s="303" t="s">
        <v>267</v>
      </c>
      <c r="D173" s="303" t="s">
        <v>1369</v>
      </c>
      <c r="E173" s="306"/>
      <c r="F173" s="306">
        <v>8419868</v>
      </c>
      <c r="G173" s="307" t="s">
        <v>1217</v>
      </c>
      <c r="H173" s="307" t="s">
        <v>321</v>
      </c>
      <c r="I173" s="330" t="s">
        <v>294</v>
      </c>
      <c r="J173" s="305">
        <v>20.3</v>
      </c>
      <c r="K173" s="307">
        <v>0</v>
      </c>
      <c r="L173" s="308">
        <v>11075000</v>
      </c>
      <c r="M173" s="308">
        <v>245000</v>
      </c>
      <c r="N173" s="308">
        <v>10830000</v>
      </c>
      <c r="O173" s="308">
        <v>810000</v>
      </c>
      <c r="P173" s="368">
        <f>0</f>
        <v>0</v>
      </c>
      <c r="Q173" s="353">
        <v>810000</v>
      </c>
    </row>
    <row r="174" spans="1:17" ht="70.5" customHeight="1" x14ac:dyDescent="0.25">
      <c r="A174" s="305" t="s">
        <v>56</v>
      </c>
      <c r="B174" s="306">
        <v>22829903</v>
      </c>
      <c r="C174" s="303" t="s">
        <v>267</v>
      </c>
      <c r="D174" s="303" t="s">
        <v>1369</v>
      </c>
      <c r="E174" s="306"/>
      <c r="F174" s="306">
        <v>5391602</v>
      </c>
      <c r="G174" s="307" t="s">
        <v>1189</v>
      </c>
      <c r="H174" s="307" t="s">
        <v>290</v>
      </c>
      <c r="I174" s="330" t="s">
        <v>278</v>
      </c>
      <c r="J174" s="305">
        <v>23</v>
      </c>
      <c r="K174" s="307">
        <v>36</v>
      </c>
      <c r="L174" s="308">
        <v>9199800</v>
      </c>
      <c r="M174" s="308">
        <f>0</f>
        <v>0</v>
      </c>
      <c r="N174" s="308">
        <v>9199800</v>
      </c>
      <c r="O174" s="308">
        <v>730000</v>
      </c>
      <c r="P174" s="368">
        <f>0</f>
        <v>0</v>
      </c>
      <c r="Q174" s="353">
        <v>730000</v>
      </c>
    </row>
    <row r="175" spans="1:17" ht="70.5" customHeight="1" x14ac:dyDescent="0.25">
      <c r="A175" s="305" t="s">
        <v>174</v>
      </c>
      <c r="B175" s="306">
        <v>26537036</v>
      </c>
      <c r="C175" s="303" t="s">
        <v>318</v>
      </c>
      <c r="D175" s="303" t="s">
        <v>1370</v>
      </c>
      <c r="E175" s="306"/>
      <c r="F175" s="306">
        <v>1464519</v>
      </c>
      <c r="G175" s="307" t="s">
        <v>1105</v>
      </c>
      <c r="H175" s="307" t="s">
        <v>268</v>
      </c>
      <c r="I175" s="330" t="s">
        <v>300</v>
      </c>
      <c r="J175" s="305">
        <v>2</v>
      </c>
      <c r="K175" s="307">
        <v>0</v>
      </c>
      <c r="L175" s="308">
        <v>1299600</v>
      </c>
      <c r="M175" s="308">
        <f>0</f>
        <v>0</v>
      </c>
      <c r="N175" s="308">
        <v>1299600</v>
      </c>
      <c r="O175" s="308">
        <v>131000</v>
      </c>
      <c r="P175" s="368">
        <f>0</f>
        <v>0</v>
      </c>
      <c r="Q175" s="353">
        <v>131000</v>
      </c>
    </row>
    <row r="176" spans="1:17" ht="70.5" customHeight="1" x14ac:dyDescent="0.25">
      <c r="A176" s="305" t="s">
        <v>174</v>
      </c>
      <c r="B176" s="306">
        <v>26537036</v>
      </c>
      <c r="C176" s="303" t="s">
        <v>318</v>
      </c>
      <c r="D176" s="303" t="s">
        <v>1370</v>
      </c>
      <c r="E176" s="306"/>
      <c r="F176" s="306">
        <v>1161877</v>
      </c>
      <c r="G176" s="307" t="s">
        <v>1093</v>
      </c>
      <c r="H176" s="307" t="s">
        <v>331</v>
      </c>
      <c r="I176" s="330" t="s">
        <v>294</v>
      </c>
      <c r="J176" s="305">
        <v>9.6</v>
      </c>
      <c r="K176" s="307">
        <v>0</v>
      </c>
      <c r="L176" s="308">
        <v>6739200</v>
      </c>
      <c r="M176" s="308">
        <f>0</f>
        <v>0</v>
      </c>
      <c r="N176" s="308">
        <v>6739200</v>
      </c>
      <c r="O176" s="308">
        <v>1041000</v>
      </c>
      <c r="P176" s="368">
        <f>0</f>
        <v>0</v>
      </c>
      <c r="Q176" s="353">
        <v>1041000</v>
      </c>
    </row>
    <row r="177" spans="1:17" ht="70.5" customHeight="1" x14ac:dyDescent="0.25">
      <c r="A177" s="305" t="s">
        <v>439</v>
      </c>
      <c r="B177" s="306">
        <v>44990901</v>
      </c>
      <c r="C177" s="303" t="s">
        <v>288</v>
      </c>
      <c r="D177" s="303" t="s">
        <v>1392</v>
      </c>
      <c r="E177" s="306" t="s">
        <v>1118</v>
      </c>
      <c r="F177" s="306">
        <v>4441304</v>
      </c>
      <c r="G177" s="307" t="s">
        <v>1170</v>
      </c>
      <c r="H177" s="307" t="s">
        <v>331</v>
      </c>
      <c r="I177" s="330" t="s">
        <v>294</v>
      </c>
      <c r="J177" s="305">
        <v>0.6</v>
      </c>
      <c r="K177" s="307">
        <v>0</v>
      </c>
      <c r="L177" s="308">
        <v>0</v>
      </c>
      <c r="M177" s="308">
        <f>0</f>
        <v>0</v>
      </c>
      <c r="N177" s="308">
        <v>0</v>
      </c>
      <c r="O177" s="308">
        <v>0</v>
      </c>
      <c r="P177" s="368">
        <f>0</f>
        <v>0</v>
      </c>
      <c r="Q177" s="353">
        <v>0</v>
      </c>
    </row>
    <row r="178" spans="1:17" ht="70.5" customHeight="1" x14ac:dyDescent="0.25">
      <c r="A178" s="305" t="s">
        <v>84</v>
      </c>
      <c r="B178" s="306">
        <v>27016781</v>
      </c>
      <c r="C178" s="303" t="s">
        <v>288</v>
      </c>
      <c r="D178" s="303" t="s">
        <v>1371</v>
      </c>
      <c r="E178" s="306"/>
      <c r="F178" s="306">
        <v>9603734</v>
      </c>
      <c r="G178" s="307" t="s">
        <v>1235</v>
      </c>
      <c r="H178" s="307" t="s">
        <v>289</v>
      </c>
      <c r="I178" s="330" t="s">
        <v>269</v>
      </c>
      <c r="J178" s="305">
        <v>4.0199999999999996</v>
      </c>
      <c r="K178" s="307">
        <v>0</v>
      </c>
      <c r="L178" s="308">
        <v>3010176</v>
      </c>
      <c r="M178" s="308">
        <f>0</f>
        <v>0</v>
      </c>
      <c r="N178" s="308">
        <v>3010176</v>
      </c>
      <c r="O178" s="308">
        <v>202000</v>
      </c>
      <c r="P178" s="368">
        <f>0</f>
        <v>0</v>
      </c>
      <c r="Q178" s="353">
        <v>202000</v>
      </c>
    </row>
    <row r="179" spans="1:17" ht="70.5" customHeight="1" x14ac:dyDescent="0.25">
      <c r="A179" s="305" t="s">
        <v>105</v>
      </c>
      <c r="B179" s="306">
        <v>27322793</v>
      </c>
      <c r="C179" s="303" t="s">
        <v>318</v>
      </c>
      <c r="D179" s="303" t="s">
        <v>1313</v>
      </c>
      <c r="E179" s="306"/>
      <c r="F179" s="306">
        <v>2527518</v>
      </c>
      <c r="G179" s="307" t="s">
        <v>105</v>
      </c>
      <c r="H179" s="307" t="s">
        <v>343</v>
      </c>
      <c r="I179" s="330" t="s">
        <v>300</v>
      </c>
      <c r="J179" s="305">
        <v>12.5</v>
      </c>
      <c r="K179" s="307">
        <v>0</v>
      </c>
      <c r="L179" s="308">
        <v>0</v>
      </c>
      <c r="M179" s="308">
        <f>0</f>
        <v>0</v>
      </c>
      <c r="N179" s="308">
        <v>0</v>
      </c>
      <c r="O179" s="308">
        <v>921000</v>
      </c>
      <c r="P179" s="368">
        <f>0</f>
        <v>0</v>
      </c>
      <c r="Q179" s="353">
        <v>921000</v>
      </c>
    </row>
    <row r="180" spans="1:17" ht="70.5" customHeight="1" x14ac:dyDescent="0.25">
      <c r="A180" s="305" t="s">
        <v>441</v>
      </c>
      <c r="B180" s="306">
        <v>25049313</v>
      </c>
      <c r="C180" s="303" t="s">
        <v>302</v>
      </c>
      <c r="D180" s="303" t="s">
        <v>1393</v>
      </c>
      <c r="E180" s="306" t="s">
        <v>1118</v>
      </c>
      <c r="F180" s="306">
        <v>7455227</v>
      </c>
      <c r="G180" s="307" t="s">
        <v>1168</v>
      </c>
      <c r="H180" s="307" t="s">
        <v>343</v>
      </c>
      <c r="I180" s="330" t="s">
        <v>269</v>
      </c>
      <c r="J180" s="305">
        <v>0.5</v>
      </c>
      <c r="K180" s="307">
        <v>0</v>
      </c>
      <c r="L180" s="308">
        <v>0</v>
      </c>
      <c r="M180" s="308">
        <f>0</f>
        <v>0</v>
      </c>
      <c r="N180" s="308">
        <v>0</v>
      </c>
      <c r="O180" s="308">
        <v>54000</v>
      </c>
      <c r="P180" s="368">
        <f>0</f>
        <v>0</v>
      </c>
      <c r="Q180" s="353">
        <v>54000</v>
      </c>
    </row>
    <row r="181" spans="1:17" ht="70.5" customHeight="1" x14ac:dyDescent="0.25">
      <c r="A181" s="305" t="s">
        <v>488</v>
      </c>
      <c r="B181" s="309" t="s">
        <v>443</v>
      </c>
      <c r="C181" s="303" t="s">
        <v>318</v>
      </c>
      <c r="D181" s="303" t="s">
        <v>1373</v>
      </c>
      <c r="E181" s="309"/>
      <c r="F181" s="306">
        <v>9072226</v>
      </c>
      <c r="G181" s="307" t="s">
        <v>1097</v>
      </c>
      <c r="H181" s="307" t="s">
        <v>308</v>
      </c>
      <c r="I181" s="330" t="s">
        <v>300</v>
      </c>
      <c r="J181" s="305">
        <v>2.2999999999999998</v>
      </c>
      <c r="K181" s="307">
        <v>0</v>
      </c>
      <c r="L181" s="308">
        <v>1487160</v>
      </c>
      <c r="M181" s="308">
        <f>0</f>
        <v>0</v>
      </c>
      <c r="N181" s="308">
        <v>1487160</v>
      </c>
      <c r="O181" s="308">
        <v>249000</v>
      </c>
      <c r="P181" s="368">
        <f>0</f>
        <v>0</v>
      </c>
      <c r="Q181" s="353">
        <v>249000</v>
      </c>
    </row>
    <row r="182" spans="1:17" ht="70.5" customHeight="1" x14ac:dyDescent="0.25">
      <c r="A182" s="305" t="s">
        <v>225</v>
      </c>
      <c r="B182" s="309" t="s">
        <v>444</v>
      </c>
      <c r="C182" s="303" t="s">
        <v>288</v>
      </c>
      <c r="D182" s="303" t="s">
        <v>1372</v>
      </c>
      <c r="E182" s="309"/>
      <c r="F182" s="306">
        <v>8533092</v>
      </c>
      <c r="G182" s="307" t="s">
        <v>1219</v>
      </c>
      <c r="H182" s="307" t="s">
        <v>337</v>
      </c>
      <c r="I182" s="330" t="s">
        <v>278</v>
      </c>
      <c r="J182" s="305">
        <v>5.35</v>
      </c>
      <c r="K182" s="307">
        <v>10</v>
      </c>
      <c r="L182" s="308">
        <v>4006596</v>
      </c>
      <c r="M182" s="308">
        <f>0</f>
        <v>0</v>
      </c>
      <c r="N182" s="308">
        <v>4006596</v>
      </c>
      <c r="O182" s="308">
        <v>268000</v>
      </c>
      <c r="P182" s="368">
        <f>0</f>
        <v>0</v>
      </c>
      <c r="Q182" s="353">
        <v>268000</v>
      </c>
    </row>
    <row r="183" spans="1:17" ht="70.5" customHeight="1" x14ac:dyDescent="0.25">
      <c r="A183" s="311" t="s">
        <v>445</v>
      </c>
      <c r="B183" s="312">
        <v>7333919</v>
      </c>
      <c r="C183" s="303" t="s">
        <v>318</v>
      </c>
      <c r="D183" s="303" t="s">
        <v>1374</v>
      </c>
      <c r="E183" s="312"/>
      <c r="F183" s="312">
        <v>9964505</v>
      </c>
      <c r="G183" s="310" t="s">
        <v>1160</v>
      </c>
      <c r="H183" s="307" t="s">
        <v>285</v>
      </c>
      <c r="I183" s="331" t="s">
        <v>278</v>
      </c>
      <c r="J183" s="305">
        <v>6.5</v>
      </c>
      <c r="K183" s="307">
        <v>20</v>
      </c>
      <c r="L183" s="308">
        <v>3978000</v>
      </c>
      <c r="M183" s="308">
        <f>0</f>
        <v>0</v>
      </c>
      <c r="N183" s="308">
        <v>3978000</v>
      </c>
      <c r="O183" s="308">
        <v>326000</v>
      </c>
      <c r="P183" s="368">
        <f>0</f>
        <v>0</v>
      </c>
      <c r="Q183" s="353">
        <v>326000</v>
      </c>
    </row>
    <row r="184" spans="1:17" ht="70.5" customHeight="1" x14ac:dyDescent="0.25">
      <c r="A184" s="305" t="s">
        <v>446</v>
      </c>
      <c r="B184" s="306">
        <v>27010031</v>
      </c>
      <c r="C184" s="303" t="s">
        <v>288</v>
      </c>
      <c r="D184" s="303" t="s">
        <v>1375</v>
      </c>
      <c r="E184" s="306"/>
      <c r="F184" s="306">
        <v>5792926</v>
      </c>
      <c r="G184" s="307" t="s">
        <v>1197</v>
      </c>
      <c r="H184" s="307" t="s">
        <v>297</v>
      </c>
      <c r="I184" s="330" t="s">
        <v>269</v>
      </c>
      <c r="J184" s="305">
        <v>3.05</v>
      </c>
      <c r="K184" s="307">
        <v>0</v>
      </c>
      <c r="L184" s="308">
        <v>1669382</v>
      </c>
      <c r="M184" s="308">
        <v>37700</v>
      </c>
      <c r="N184" s="308">
        <v>1631682</v>
      </c>
      <c r="O184" s="308">
        <v>153000</v>
      </c>
      <c r="P184" s="368">
        <f>0</f>
        <v>0</v>
      </c>
      <c r="Q184" s="353">
        <v>153000</v>
      </c>
    </row>
    <row r="185" spans="1:17" ht="70.5" customHeight="1" x14ac:dyDescent="0.25">
      <c r="A185" s="305" t="s">
        <v>447</v>
      </c>
      <c r="B185" s="306">
        <v>26671468</v>
      </c>
      <c r="C185" s="303" t="s">
        <v>288</v>
      </c>
      <c r="D185" s="303" t="s">
        <v>1376</v>
      </c>
      <c r="E185" s="306"/>
      <c r="F185" s="306">
        <v>9321887</v>
      </c>
      <c r="G185" s="307" t="s">
        <v>1231</v>
      </c>
      <c r="H185" s="307" t="s">
        <v>283</v>
      </c>
      <c r="I185" s="330" t="s">
        <v>278</v>
      </c>
      <c r="J185" s="305">
        <v>4</v>
      </c>
      <c r="K185" s="307">
        <v>6</v>
      </c>
      <c r="L185" s="308">
        <v>2216600</v>
      </c>
      <c r="M185" s="308">
        <f>0</f>
        <v>0</v>
      </c>
      <c r="N185" s="308">
        <v>2216600</v>
      </c>
      <c r="O185" s="308">
        <v>0</v>
      </c>
      <c r="P185" s="368">
        <f>0</f>
        <v>0</v>
      </c>
      <c r="Q185" s="353">
        <v>0</v>
      </c>
    </row>
    <row r="186" spans="1:17" ht="70.5" customHeight="1" x14ac:dyDescent="0.25">
      <c r="A186" s="305" t="s">
        <v>447</v>
      </c>
      <c r="B186" s="306">
        <v>26671468</v>
      </c>
      <c r="C186" s="303" t="s">
        <v>288</v>
      </c>
      <c r="D186" s="303" t="s">
        <v>1376</v>
      </c>
      <c r="E186" s="306"/>
      <c r="F186" s="306">
        <v>5091362</v>
      </c>
      <c r="G186" s="307" t="s">
        <v>1183</v>
      </c>
      <c r="H186" s="307" t="s">
        <v>297</v>
      </c>
      <c r="I186" s="330" t="s">
        <v>269</v>
      </c>
      <c r="J186" s="305">
        <v>3.89</v>
      </c>
      <c r="K186" s="307">
        <v>0</v>
      </c>
      <c r="L186" s="308">
        <v>1494000</v>
      </c>
      <c r="M186" s="308">
        <f>0</f>
        <v>0</v>
      </c>
      <c r="N186" s="308">
        <v>1494000</v>
      </c>
      <c r="O186" s="308">
        <v>0</v>
      </c>
      <c r="P186" s="368">
        <f>0</f>
        <v>0</v>
      </c>
      <c r="Q186" s="353">
        <v>0</v>
      </c>
    </row>
    <row r="187" spans="1:17" ht="70.5" customHeight="1" x14ac:dyDescent="0.25">
      <c r="A187" s="305" t="s">
        <v>448</v>
      </c>
      <c r="B187" s="309" t="s">
        <v>449</v>
      </c>
      <c r="C187" s="303" t="s">
        <v>296</v>
      </c>
      <c r="D187" s="303" t="s">
        <v>1377</v>
      </c>
      <c r="E187" s="309" t="s">
        <v>1101</v>
      </c>
      <c r="F187" s="306">
        <v>3145588</v>
      </c>
      <c r="G187" s="307" t="s">
        <v>448</v>
      </c>
      <c r="H187" s="307" t="s">
        <v>283</v>
      </c>
      <c r="I187" s="330" t="s">
        <v>278</v>
      </c>
      <c r="J187" s="305">
        <v>2.2999999999999998</v>
      </c>
      <c r="K187" s="307">
        <v>2</v>
      </c>
      <c r="L187" s="308">
        <v>1008000</v>
      </c>
      <c r="M187" s="308">
        <f>0</f>
        <v>0</v>
      </c>
      <c r="N187" s="308">
        <v>1008000</v>
      </c>
      <c r="O187" s="308">
        <v>0</v>
      </c>
      <c r="P187" s="368">
        <f>0</f>
        <v>0</v>
      </c>
      <c r="Q187" s="353">
        <v>0</v>
      </c>
    </row>
    <row r="188" spans="1:17" ht="70.5" customHeight="1" x14ac:dyDescent="0.25">
      <c r="A188" s="305" t="s">
        <v>448</v>
      </c>
      <c r="B188" s="309" t="s">
        <v>449</v>
      </c>
      <c r="C188" s="303" t="s">
        <v>296</v>
      </c>
      <c r="D188" s="303" t="s">
        <v>1377</v>
      </c>
      <c r="E188" s="309" t="s">
        <v>1101</v>
      </c>
      <c r="F188" s="306">
        <v>6266118</v>
      </c>
      <c r="G188" s="307" t="s">
        <v>448</v>
      </c>
      <c r="H188" s="307" t="s">
        <v>289</v>
      </c>
      <c r="I188" s="330" t="s">
        <v>269</v>
      </c>
      <c r="J188" s="305">
        <v>3.31</v>
      </c>
      <c r="K188" s="307">
        <v>0</v>
      </c>
      <c r="L188" s="308">
        <v>1897350</v>
      </c>
      <c r="M188" s="308">
        <f>0</f>
        <v>0</v>
      </c>
      <c r="N188" s="308">
        <v>1897350</v>
      </c>
      <c r="O188" s="308">
        <v>0</v>
      </c>
      <c r="P188" s="368">
        <f>0</f>
        <v>0</v>
      </c>
      <c r="Q188" s="353">
        <v>0</v>
      </c>
    </row>
    <row r="189" spans="1:17" ht="70.5" customHeight="1" x14ac:dyDescent="0.25">
      <c r="A189" s="305" t="s">
        <v>448</v>
      </c>
      <c r="B189" s="309" t="s">
        <v>449</v>
      </c>
      <c r="C189" s="303" t="s">
        <v>296</v>
      </c>
      <c r="D189" s="303" t="s">
        <v>1377</v>
      </c>
      <c r="E189" s="309" t="s">
        <v>1101</v>
      </c>
      <c r="F189" s="306">
        <v>7007714</v>
      </c>
      <c r="G189" s="307" t="s">
        <v>448</v>
      </c>
      <c r="H189" s="307" t="s">
        <v>334</v>
      </c>
      <c r="I189" s="330" t="s">
        <v>278</v>
      </c>
      <c r="J189" s="305">
        <v>18.39</v>
      </c>
      <c r="K189" s="307">
        <v>30</v>
      </c>
      <c r="L189" s="308">
        <v>10297870</v>
      </c>
      <c r="M189" s="308">
        <f>0</f>
        <v>0</v>
      </c>
      <c r="N189" s="308">
        <v>10297870</v>
      </c>
      <c r="O189" s="308">
        <v>0</v>
      </c>
      <c r="P189" s="368">
        <f>0</f>
        <v>0</v>
      </c>
      <c r="Q189" s="353">
        <v>0</v>
      </c>
    </row>
    <row r="190" spans="1:17" ht="70.5" customHeight="1" x14ac:dyDescent="0.25">
      <c r="A190" s="305" t="s">
        <v>451</v>
      </c>
      <c r="B190" s="306">
        <v>72745339</v>
      </c>
      <c r="C190" s="303" t="s">
        <v>324</v>
      </c>
      <c r="D190" s="303" t="s">
        <v>1378</v>
      </c>
      <c r="E190" s="306"/>
      <c r="F190" s="306">
        <v>1410170</v>
      </c>
      <c r="G190" s="307" t="s">
        <v>1092</v>
      </c>
      <c r="H190" s="307" t="s">
        <v>325</v>
      </c>
      <c r="I190" s="330" t="s">
        <v>300</v>
      </c>
      <c r="J190" s="305">
        <v>17</v>
      </c>
      <c r="K190" s="307">
        <v>0</v>
      </c>
      <c r="L190" s="308">
        <v>7410000</v>
      </c>
      <c r="M190" s="308">
        <f>0</f>
        <v>0</v>
      </c>
      <c r="N190" s="308">
        <v>7410000</v>
      </c>
      <c r="O190" s="308">
        <v>0</v>
      </c>
      <c r="P190" s="368">
        <f>0</f>
        <v>0</v>
      </c>
      <c r="Q190" s="353">
        <v>0</v>
      </c>
    </row>
    <row r="191" spans="1:17" ht="70.5" customHeight="1" x14ac:dyDescent="0.25">
      <c r="A191" s="305" t="s">
        <v>451</v>
      </c>
      <c r="B191" s="306">
        <v>72745339</v>
      </c>
      <c r="C191" s="303" t="s">
        <v>324</v>
      </c>
      <c r="D191" s="303" t="s">
        <v>1378</v>
      </c>
      <c r="E191" s="306"/>
      <c r="F191" s="306">
        <v>8788790</v>
      </c>
      <c r="G191" s="307" t="s">
        <v>1223</v>
      </c>
      <c r="H191" s="307" t="s">
        <v>285</v>
      </c>
      <c r="I191" s="330" t="s">
        <v>278</v>
      </c>
      <c r="J191" s="305">
        <v>34</v>
      </c>
      <c r="K191" s="307">
        <v>60</v>
      </c>
      <c r="L191" s="308">
        <v>9494037</v>
      </c>
      <c r="M191" s="308">
        <f>0</f>
        <v>0</v>
      </c>
      <c r="N191" s="308">
        <v>9494037</v>
      </c>
      <c r="O191" s="308">
        <v>0</v>
      </c>
      <c r="P191" s="368">
        <f>0</f>
        <v>0</v>
      </c>
      <c r="Q191" s="353">
        <v>0</v>
      </c>
    </row>
    <row r="192" spans="1:17" ht="70.5" customHeight="1" x14ac:dyDescent="0.25">
      <c r="A192" s="305" t="s">
        <v>451</v>
      </c>
      <c r="B192" s="306">
        <v>72745339</v>
      </c>
      <c r="C192" s="303" t="s">
        <v>324</v>
      </c>
      <c r="D192" s="303" t="s">
        <v>1378</v>
      </c>
      <c r="E192" s="306"/>
      <c r="F192" s="306">
        <v>6732891</v>
      </c>
      <c r="G192" s="307" t="s">
        <v>1204</v>
      </c>
      <c r="H192" s="307" t="s">
        <v>364</v>
      </c>
      <c r="I192" s="330" t="s">
        <v>278</v>
      </c>
      <c r="J192" s="305">
        <v>6.4</v>
      </c>
      <c r="K192" s="307">
        <v>28</v>
      </c>
      <c r="L192" s="308">
        <v>3372500</v>
      </c>
      <c r="M192" s="308">
        <f>0</f>
        <v>0</v>
      </c>
      <c r="N192" s="308">
        <v>3372500</v>
      </c>
      <c r="O192" s="308">
        <v>0</v>
      </c>
      <c r="P192" s="368">
        <f>0</f>
        <v>0</v>
      </c>
      <c r="Q192" s="353">
        <v>0</v>
      </c>
    </row>
    <row r="193" spans="1:17" ht="70.5" customHeight="1" x14ac:dyDescent="0.25">
      <c r="A193" s="305" t="s">
        <v>451</v>
      </c>
      <c r="B193" s="306">
        <v>72745339</v>
      </c>
      <c r="C193" s="303" t="s">
        <v>324</v>
      </c>
      <c r="D193" s="303" t="s">
        <v>1378</v>
      </c>
      <c r="E193" s="306"/>
      <c r="F193" s="306">
        <v>8170444</v>
      </c>
      <c r="G193" s="307" t="s">
        <v>1214</v>
      </c>
      <c r="H193" s="307" t="s">
        <v>364</v>
      </c>
      <c r="I193" s="330" t="s">
        <v>278</v>
      </c>
      <c r="J193" s="305">
        <v>5</v>
      </c>
      <c r="K193" s="307">
        <v>25</v>
      </c>
      <c r="L193" s="308">
        <v>1900000</v>
      </c>
      <c r="M193" s="308">
        <f>0</f>
        <v>0</v>
      </c>
      <c r="N193" s="308">
        <v>1900000</v>
      </c>
      <c r="O193" s="308">
        <v>0</v>
      </c>
      <c r="P193" s="368">
        <f>0</f>
        <v>0</v>
      </c>
      <c r="Q193" s="353">
        <v>0</v>
      </c>
    </row>
    <row r="194" spans="1:17" ht="70.5" customHeight="1" x14ac:dyDescent="0.25">
      <c r="A194" s="305" t="s">
        <v>452</v>
      </c>
      <c r="B194" s="306">
        <v>48282910</v>
      </c>
      <c r="C194" s="303" t="s">
        <v>324</v>
      </c>
      <c r="D194" s="303" t="s">
        <v>1379</v>
      </c>
      <c r="E194" s="306"/>
      <c r="F194" s="306">
        <v>4493554</v>
      </c>
      <c r="G194" s="307" t="s">
        <v>1171</v>
      </c>
      <c r="H194" s="307" t="s">
        <v>325</v>
      </c>
      <c r="I194" s="330" t="s">
        <v>294</v>
      </c>
      <c r="J194" s="305">
        <v>3.68</v>
      </c>
      <c r="K194" s="307">
        <v>0</v>
      </c>
      <c r="L194" s="308">
        <v>1118325</v>
      </c>
      <c r="M194" s="308">
        <f>0</f>
        <v>0</v>
      </c>
      <c r="N194" s="308">
        <v>1118325</v>
      </c>
      <c r="O194" s="308">
        <v>0</v>
      </c>
      <c r="P194" s="368">
        <f>0</f>
        <v>0</v>
      </c>
      <c r="Q194" s="353">
        <v>0</v>
      </c>
    </row>
    <row r="195" spans="1:17" ht="70.5" customHeight="1" x14ac:dyDescent="0.25">
      <c r="A195" s="305" t="s">
        <v>452</v>
      </c>
      <c r="B195" s="306">
        <v>48282910</v>
      </c>
      <c r="C195" s="303" t="s">
        <v>324</v>
      </c>
      <c r="D195" s="303" t="s">
        <v>1379</v>
      </c>
      <c r="E195" s="306"/>
      <c r="F195" s="306">
        <v>2854766</v>
      </c>
      <c r="G195" s="307" t="s">
        <v>1133</v>
      </c>
      <c r="H195" s="307" t="s">
        <v>289</v>
      </c>
      <c r="I195" s="330" t="s">
        <v>269</v>
      </c>
      <c r="J195" s="305">
        <v>0.88</v>
      </c>
      <c r="K195" s="307">
        <v>0</v>
      </c>
      <c r="L195" s="308">
        <v>429000</v>
      </c>
      <c r="M195" s="308">
        <f>0</f>
        <v>0</v>
      </c>
      <c r="N195" s="308">
        <v>429000</v>
      </c>
      <c r="O195" s="308">
        <v>0</v>
      </c>
      <c r="P195" s="368">
        <f>0</f>
        <v>0</v>
      </c>
      <c r="Q195" s="353">
        <v>0</v>
      </c>
    </row>
    <row r="196" spans="1:17" ht="70.5" customHeight="1" x14ac:dyDescent="0.25">
      <c r="A196" s="305" t="s">
        <v>452</v>
      </c>
      <c r="B196" s="306">
        <v>48282910</v>
      </c>
      <c r="C196" s="303" t="s">
        <v>324</v>
      </c>
      <c r="D196" s="303" t="s">
        <v>1379</v>
      </c>
      <c r="E196" s="306"/>
      <c r="F196" s="306">
        <v>8609487</v>
      </c>
      <c r="G196" s="307" t="s">
        <v>1220</v>
      </c>
      <c r="H196" s="307" t="s">
        <v>285</v>
      </c>
      <c r="I196" s="330" t="s">
        <v>278</v>
      </c>
      <c r="J196" s="305">
        <v>24.64</v>
      </c>
      <c r="K196" s="307">
        <v>43</v>
      </c>
      <c r="L196" s="308">
        <v>7071520</v>
      </c>
      <c r="M196" s="308">
        <f>0</f>
        <v>0</v>
      </c>
      <c r="N196" s="308">
        <v>7071520</v>
      </c>
      <c r="O196" s="308">
        <v>0</v>
      </c>
      <c r="P196" s="368">
        <f>0</f>
        <v>0</v>
      </c>
      <c r="Q196" s="353">
        <v>0</v>
      </c>
    </row>
    <row r="197" spans="1:17" ht="70.5" customHeight="1" x14ac:dyDescent="0.25">
      <c r="A197" s="305" t="s">
        <v>453</v>
      </c>
      <c r="B197" s="306">
        <v>48282901</v>
      </c>
      <c r="C197" s="303" t="s">
        <v>324</v>
      </c>
      <c r="D197" s="303" t="s">
        <v>1380</v>
      </c>
      <c r="E197" s="306"/>
      <c r="F197" s="306">
        <v>6836867</v>
      </c>
      <c r="G197" s="307" t="s">
        <v>1092</v>
      </c>
      <c r="H197" s="307" t="s">
        <v>325</v>
      </c>
      <c r="I197" s="330" t="s">
        <v>300</v>
      </c>
      <c r="J197" s="305">
        <v>9</v>
      </c>
      <c r="K197" s="307">
        <v>0</v>
      </c>
      <c r="L197" s="308">
        <v>4046250</v>
      </c>
      <c r="M197" s="308">
        <f>0</f>
        <v>0</v>
      </c>
      <c r="N197" s="308">
        <v>4046250</v>
      </c>
      <c r="O197" s="308">
        <v>0</v>
      </c>
      <c r="P197" s="368">
        <f>0</f>
        <v>0</v>
      </c>
      <c r="Q197" s="353">
        <v>0</v>
      </c>
    </row>
    <row r="198" spans="1:17" ht="70.5" customHeight="1" x14ac:dyDescent="0.25">
      <c r="A198" s="305" t="s">
        <v>453</v>
      </c>
      <c r="B198" s="306">
        <v>48282901</v>
      </c>
      <c r="C198" s="303" t="s">
        <v>324</v>
      </c>
      <c r="D198" s="303" t="s">
        <v>1380</v>
      </c>
      <c r="E198" s="306"/>
      <c r="F198" s="306">
        <v>3625295</v>
      </c>
      <c r="G198" s="307" t="s">
        <v>1149</v>
      </c>
      <c r="H198" s="307" t="s">
        <v>285</v>
      </c>
      <c r="I198" s="330" t="s">
        <v>278</v>
      </c>
      <c r="J198" s="305">
        <v>27.5</v>
      </c>
      <c r="K198" s="307">
        <v>60</v>
      </c>
      <c r="L198" s="308">
        <v>12206040</v>
      </c>
      <c r="M198" s="308">
        <f>0</f>
        <v>0</v>
      </c>
      <c r="N198" s="308">
        <v>12206040</v>
      </c>
      <c r="O198" s="308">
        <v>0</v>
      </c>
      <c r="P198" s="368">
        <f>0</f>
        <v>0</v>
      </c>
      <c r="Q198" s="353">
        <v>0</v>
      </c>
    </row>
    <row r="199" spans="1:17" ht="70.5" customHeight="1" x14ac:dyDescent="0.25">
      <c r="A199" s="305" t="s">
        <v>454</v>
      </c>
      <c r="B199" s="306">
        <v>75143861</v>
      </c>
      <c r="C199" s="303" t="s">
        <v>324</v>
      </c>
      <c r="D199" s="303" t="s">
        <v>1381</v>
      </c>
      <c r="E199" s="306"/>
      <c r="F199" s="306">
        <v>7901485</v>
      </c>
      <c r="G199" s="307" t="s">
        <v>1092</v>
      </c>
      <c r="H199" s="307" t="s">
        <v>325</v>
      </c>
      <c r="I199" s="330" t="s">
        <v>300</v>
      </c>
      <c r="J199" s="305">
        <v>16.600000000000001</v>
      </c>
      <c r="K199" s="307">
        <v>0</v>
      </c>
      <c r="L199" s="308">
        <v>4455485</v>
      </c>
      <c r="M199" s="308">
        <f>0</f>
        <v>0</v>
      </c>
      <c r="N199" s="308">
        <v>4455485</v>
      </c>
      <c r="O199" s="308">
        <v>0</v>
      </c>
      <c r="P199" s="368">
        <f>0</f>
        <v>0</v>
      </c>
      <c r="Q199" s="353">
        <v>0</v>
      </c>
    </row>
    <row r="200" spans="1:17" ht="70.5" customHeight="1" x14ac:dyDescent="0.25">
      <c r="A200" s="305" t="s">
        <v>454</v>
      </c>
      <c r="B200" s="306">
        <v>75143861</v>
      </c>
      <c r="C200" s="303" t="s">
        <v>324</v>
      </c>
      <c r="D200" s="303" t="s">
        <v>1381</v>
      </c>
      <c r="E200" s="306"/>
      <c r="F200" s="306">
        <v>1280179</v>
      </c>
      <c r="G200" s="307" t="s">
        <v>1098</v>
      </c>
      <c r="H200" s="307" t="s">
        <v>289</v>
      </c>
      <c r="I200" s="330" t="s">
        <v>269</v>
      </c>
      <c r="J200" s="305">
        <v>1.4</v>
      </c>
      <c r="K200" s="307">
        <v>0</v>
      </c>
      <c r="L200" s="308">
        <v>281430</v>
      </c>
      <c r="M200" s="308">
        <f>0</f>
        <v>0</v>
      </c>
      <c r="N200" s="308">
        <v>281430</v>
      </c>
      <c r="O200" s="308">
        <v>0</v>
      </c>
      <c r="P200" s="368">
        <f>0</f>
        <v>0</v>
      </c>
      <c r="Q200" s="353">
        <v>0</v>
      </c>
    </row>
    <row r="201" spans="1:17" ht="70.5" customHeight="1" x14ac:dyDescent="0.25">
      <c r="A201" s="305" t="s">
        <v>455</v>
      </c>
      <c r="B201" s="309" t="s">
        <v>456</v>
      </c>
      <c r="C201" s="303" t="s">
        <v>324</v>
      </c>
      <c r="D201" s="303" t="s">
        <v>1382</v>
      </c>
      <c r="E201" s="309"/>
      <c r="F201" s="306">
        <v>3949768</v>
      </c>
      <c r="G201" s="307" t="s">
        <v>1121</v>
      </c>
      <c r="H201" s="307" t="s">
        <v>325</v>
      </c>
      <c r="I201" s="330" t="s">
        <v>300</v>
      </c>
      <c r="J201" s="305">
        <v>6.1</v>
      </c>
      <c r="K201" s="307">
        <v>0</v>
      </c>
      <c r="L201" s="308">
        <v>2743600</v>
      </c>
      <c r="M201" s="308">
        <f>0</f>
        <v>0</v>
      </c>
      <c r="N201" s="308">
        <v>2743600</v>
      </c>
      <c r="O201" s="308">
        <v>0</v>
      </c>
      <c r="P201" s="368">
        <f>0</f>
        <v>0</v>
      </c>
      <c r="Q201" s="353">
        <v>0</v>
      </c>
    </row>
    <row r="202" spans="1:17" ht="70.5" customHeight="1" x14ac:dyDescent="0.25">
      <c r="A202" s="305" t="s">
        <v>455</v>
      </c>
      <c r="B202" s="309" t="s">
        <v>456</v>
      </c>
      <c r="C202" s="303" t="s">
        <v>324</v>
      </c>
      <c r="D202" s="303" t="s">
        <v>1382</v>
      </c>
      <c r="E202" s="309"/>
      <c r="F202" s="306">
        <v>3732526</v>
      </c>
      <c r="G202" s="307" t="s">
        <v>1121</v>
      </c>
      <c r="H202" s="307" t="s">
        <v>285</v>
      </c>
      <c r="I202" s="330" t="s">
        <v>278</v>
      </c>
      <c r="J202" s="305">
        <v>33.1</v>
      </c>
      <c r="K202" s="307">
        <v>64</v>
      </c>
      <c r="L202" s="308">
        <v>8351060</v>
      </c>
      <c r="M202" s="308">
        <f>0</f>
        <v>0</v>
      </c>
      <c r="N202" s="308">
        <v>8351060</v>
      </c>
      <c r="O202" s="308">
        <v>0</v>
      </c>
      <c r="P202" s="368">
        <f>0</f>
        <v>0</v>
      </c>
      <c r="Q202" s="353">
        <v>0</v>
      </c>
    </row>
    <row r="203" spans="1:17" ht="70.5" customHeight="1" x14ac:dyDescent="0.25">
      <c r="A203" s="305" t="s">
        <v>455</v>
      </c>
      <c r="B203" s="309" t="s">
        <v>456</v>
      </c>
      <c r="C203" s="303" t="s">
        <v>324</v>
      </c>
      <c r="D203" s="303" t="s">
        <v>1382</v>
      </c>
      <c r="E203" s="309"/>
      <c r="F203" s="306">
        <v>2308616</v>
      </c>
      <c r="G203" s="307" t="s">
        <v>1121</v>
      </c>
      <c r="H203" s="307" t="s">
        <v>290</v>
      </c>
      <c r="I203" s="330" t="s">
        <v>278</v>
      </c>
      <c r="J203" s="305">
        <v>35.130000000000003</v>
      </c>
      <c r="K203" s="307">
        <v>56</v>
      </c>
      <c r="L203" s="308">
        <v>9577600</v>
      </c>
      <c r="M203" s="308">
        <f>0</f>
        <v>0</v>
      </c>
      <c r="N203" s="308">
        <v>9577600</v>
      </c>
      <c r="O203" s="308">
        <v>0</v>
      </c>
      <c r="P203" s="368">
        <f>0</f>
        <v>0</v>
      </c>
      <c r="Q203" s="353">
        <v>0</v>
      </c>
    </row>
    <row r="204" spans="1:17" ht="70.5" customHeight="1" x14ac:dyDescent="0.25">
      <c r="A204" s="305" t="s">
        <v>149</v>
      </c>
      <c r="B204" s="306">
        <v>29043913</v>
      </c>
      <c r="C204" s="303" t="s">
        <v>318</v>
      </c>
      <c r="D204" s="303" t="s">
        <v>1383</v>
      </c>
      <c r="E204" s="306"/>
      <c r="F204" s="306">
        <v>7143232</v>
      </c>
      <c r="G204" s="307" t="s">
        <v>1164</v>
      </c>
      <c r="H204" s="307" t="s">
        <v>321</v>
      </c>
      <c r="I204" s="330" t="s">
        <v>294</v>
      </c>
      <c r="J204" s="305">
        <v>12.5</v>
      </c>
      <c r="K204" s="307">
        <v>0</v>
      </c>
      <c r="L204" s="308">
        <v>8250000</v>
      </c>
      <c r="M204" s="308">
        <f>0</f>
        <v>0</v>
      </c>
      <c r="N204" s="308">
        <v>8250000</v>
      </c>
      <c r="O204" s="308">
        <v>627000</v>
      </c>
      <c r="P204" s="368">
        <f>0</f>
        <v>0</v>
      </c>
      <c r="Q204" s="353">
        <v>627000</v>
      </c>
    </row>
    <row r="205" spans="1:17" ht="70.5" customHeight="1" x14ac:dyDescent="0.25">
      <c r="A205" s="305" t="s">
        <v>149</v>
      </c>
      <c r="B205" s="306">
        <v>29043913</v>
      </c>
      <c r="C205" s="303" t="s">
        <v>318</v>
      </c>
      <c r="D205" s="303" t="s">
        <v>1383</v>
      </c>
      <c r="E205" s="306"/>
      <c r="F205" s="306">
        <v>7253089</v>
      </c>
      <c r="G205" s="307" t="s">
        <v>1092</v>
      </c>
      <c r="H205" s="307" t="s">
        <v>325</v>
      </c>
      <c r="I205" s="330" t="s">
        <v>300</v>
      </c>
      <c r="J205" s="305">
        <v>5</v>
      </c>
      <c r="K205" s="307">
        <v>0</v>
      </c>
      <c r="L205" s="308">
        <v>3720600</v>
      </c>
      <c r="M205" s="308">
        <f>0</f>
        <v>0</v>
      </c>
      <c r="N205" s="308">
        <v>3720600</v>
      </c>
      <c r="O205" s="308">
        <v>400000</v>
      </c>
      <c r="P205" s="368">
        <f>0</f>
        <v>0</v>
      </c>
      <c r="Q205" s="353">
        <v>400000</v>
      </c>
    </row>
    <row r="206" spans="1:17" ht="70.5" customHeight="1" x14ac:dyDescent="0.25">
      <c r="A206" s="305" t="s">
        <v>149</v>
      </c>
      <c r="B206" s="306">
        <v>29043913</v>
      </c>
      <c r="C206" s="303" t="s">
        <v>318</v>
      </c>
      <c r="D206" s="303" t="s">
        <v>1383</v>
      </c>
      <c r="E206" s="306"/>
      <c r="F206" s="306">
        <v>5968921</v>
      </c>
      <c r="G206" s="307" t="s">
        <v>1109</v>
      </c>
      <c r="H206" s="307" t="s">
        <v>283</v>
      </c>
      <c r="I206" s="330" t="s">
        <v>300</v>
      </c>
      <c r="J206" s="305">
        <v>2</v>
      </c>
      <c r="K206" s="307">
        <v>0</v>
      </c>
      <c r="L206" s="308">
        <v>1464000</v>
      </c>
      <c r="M206" s="308">
        <f>0</f>
        <v>0</v>
      </c>
      <c r="N206" s="308">
        <v>1464000</v>
      </c>
      <c r="O206" s="308">
        <v>100000</v>
      </c>
      <c r="P206" s="368">
        <f>0</f>
        <v>0</v>
      </c>
      <c r="Q206" s="353">
        <v>100000</v>
      </c>
    </row>
    <row r="207" spans="1:17" ht="70.5" customHeight="1" x14ac:dyDescent="0.25">
      <c r="A207" s="305" t="s">
        <v>61</v>
      </c>
      <c r="B207" s="306">
        <v>27291049</v>
      </c>
      <c r="C207" s="303" t="s">
        <v>267</v>
      </c>
      <c r="D207" s="303" t="s">
        <v>1384</v>
      </c>
      <c r="E207" s="306"/>
      <c r="F207" s="306">
        <v>4353078</v>
      </c>
      <c r="G207" s="307" t="s">
        <v>1165</v>
      </c>
      <c r="H207" s="307" t="s">
        <v>365</v>
      </c>
      <c r="I207" s="330" t="s">
        <v>294</v>
      </c>
      <c r="J207" s="305">
        <v>5.3</v>
      </c>
      <c r="K207" s="307">
        <v>0</v>
      </c>
      <c r="L207" s="308">
        <v>0</v>
      </c>
      <c r="M207" s="308">
        <f>0</f>
        <v>0</v>
      </c>
      <c r="N207" s="308">
        <v>0</v>
      </c>
      <c r="O207" s="308">
        <v>424000</v>
      </c>
      <c r="P207" s="368">
        <f>0</f>
        <v>0</v>
      </c>
      <c r="Q207" s="353">
        <v>424000</v>
      </c>
    </row>
    <row r="208" spans="1:17" ht="70.5" customHeight="1" x14ac:dyDescent="0.25">
      <c r="A208" s="305" t="s">
        <v>61</v>
      </c>
      <c r="B208" s="306">
        <v>27291049</v>
      </c>
      <c r="C208" s="303" t="s">
        <v>267</v>
      </c>
      <c r="D208" s="303" t="s">
        <v>1384</v>
      </c>
      <c r="E208" s="306"/>
      <c r="F208" s="306">
        <v>5227172</v>
      </c>
      <c r="G208" s="307" t="s">
        <v>1165</v>
      </c>
      <c r="H208" s="307" t="s">
        <v>337</v>
      </c>
      <c r="I208" s="330" t="s">
        <v>278</v>
      </c>
      <c r="J208" s="305">
        <v>16.600000000000001</v>
      </c>
      <c r="K208" s="307">
        <v>29</v>
      </c>
      <c r="L208" s="308">
        <v>11262040</v>
      </c>
      <c r="M208" s="308">
        <f>0</f>
        <v>0</v>
      </c>
      <c r="N208" s="308">
        <v>11262040</v>
      </c>
      <c r="O208" s="308">
        <v>950000</v>
      </c>
      <c r="P208" s="368">
        <f>0</f>
        <v>0</v>
      </c>
      <c r="Q208" s="353">
        <v>950000</v>
      </c>
    </row>
    <row r="209" spans="1:17" ht="70.5" customHeight="1" x14ac:dyDescent="0.25">
      <c r="A209" s="305" t="s">
        <v>61</v>
      </c>
      <c r="B209" s="306">
        <v>27291049</v>
      </c>
      <c r="C209" s="303" t="s">
        <v>267</v>
      </c>
      <c r="D209" s="303" t="s">
        <v>1384</v>
      </c>
      <c r="E209" s="306"/>
      <c r="F209" s="306">
        <v>6650186</v>
      </c>
      <c r="G209" s="307" t="s">
        <v>1165</v>
      </c>
      <c r="H209" s="307" t="s">
        <v>338</v>
      </c>
      <c r="I209" s="330" t="s">
        <v>269</v>
      </c>
      <c r="J209" s="305">
        <v>3</v>
      </c>
      <c r="K209" s="307">
        <v>0</v>
      </c>
      <c r="L209" s="308">
        <v>0</v>
      </c>
      <c r="M209" s="308">
        <f>0</f>
        <v>0</v>
      </c>
      <c r="N209" s="308">
        <v>0</v>
      </c>
      <c r="O209" s="308">
        <v>417000</v>
      </c>
      <c r="P209" s="368">
        <f>0</f>
        <v>0</v>
      </c>
      <c r="Q209" s="353">
        <v>417000</v>
      </c>
    </row>
    <row r="210" spans="1:17" ht="70.5" customHeight="1" x14ac:dyDescent="0.25">
      <c r="A210" s="305" t="s">
        <v>457</v>
      </c>
      <c r="B210" s="306">
        <v>26611716</v>
      </c>
      <c r="C210" s="303" t="s">
        <v>318</v>
      </c>
      <c r="D210" s="303" t="s">
        <v>1394</v>
      </c>
      <c r="E210" s="306" t="s">
        <v>1118</v>
      </c>
      <c r="F210" s="306">
        <v>4385424</v>
      </c>
      <c r="G210" s="307" t="s">
        <v>1168</v>
      </c>
      <c r="H210" s="307" t="s">
        <v>343</v>
      </c>
      <c r="I210" s="330" t="s">
        <v>269</v>
      </c>
      <c r="J210" s="305">
        <v>3.1</v>
      </c>
      <c r="K210" s="307">
        <v>0</v>
      </c>
      <c r="L210" s="308">
        <v>0</v>
      </c>
      <c r="M210" s="308">
        <f>0</f>
        <v>0</v>
      </c>
      <c r="N210" s="308">
        <v>0</v>
      </c>
      <c r="O210" s="308">
        <v>125000</v>
      </c>
      <c r="P210" s="368">
        <f>0</f>
        <v>0</v>
      </c>
      <c r="Q210" s="353">
        <v>125000</v>
      </c>
    </row>
    <row r="211" spans="1:17" ht="70.5" customHeight="1" x14ac:dyDescent="0.25">
      <c r="A211" s="305" t="s">
        <v>458</v>
      </c>
      <c r="B211" s="306">
        <v>25475894</v>
      </c>
      <c r="C211" s="303" t="s">
        <v>318</v>
      </c>
      <c r="D211" s="303" t="s">
        <v>1385</v>
      </c>
      <c r="E211" s="306"/>
      <c r="F211" s="306">
        <v>5293407</v>
      </c>
      <c r="G211" s="307" t="s">
        <v>1239</v>
      </c>
      <c r="H211" s="307" t="s">
        <v>496</v>
      </c>
      <c r="I211" s="330" t="s">
        <v>300</v>
      </c>
      <c r="J211" s="305">
        <v>0.75</v>
      </c>
      <c r="K211" s="307">
        <v>0</v>
      </c>
      <c r="L211" s="308">
        <v>382248</v>
      </c>
      <c r="M211" s="308">
        <f>0</f>
        <v>0</v>
      </c>
      <c r="N211" s="308">
        <v>382248</v>
      </c>
      <c r="O211" s="308">
        <v>0</v>
      </c>
      <c r="P211" s="368">
        <f>0</f>
        <v>0</v>
      </c>
      <c r="Q211" s="353">
        <v>0</v>
      </c>
    </row>
    <row r="212" spans="1:17" ht="70.5" customHeight="1" x14ac:dyDescent="0.25">
      <c r="A212" s="305" t="s">
        <v>458</v>
      </c>
      <c r="B212" s="306">
        <v>25475894</v>
      </c>
      <c r="C212" s="303" t="s">
        <v>318</v>
      </c>
      <c r="D212" s="303" t="s">
        <v>1385</v>
      </c>
      <c r="E212" s="306"/>
      <c r="F212" s="306">
        <v>2954592</v>
      </c>
      <c r="G212" s="307" t="s">
        <v>1240</v>
      </c>
      <c r="H212" s="307" t="s">
        <v>308</v>
      </c>
      <c r="I212" s="330" t="s">
        <v>300</v>
      </c>
      <c r="J212" s="305">
        <v>2.67</v>
      </c>
      <c r="K212" s="307">
        <v>0</v>
      </c>
      <c r="L212" s="308">
        <v>1598802</v>
      </c>
      <c r="M212" s="308">
        <f>0</f>
        <v>0</v>
      </c>
      <c r="N212" s="308">
        <v>1598802</v>
      </c>
      <c r="O212" s="308">
        <v>289000</v>
      </c>
      <c r="P212" s="368">
        <f>0</f>
        <v>0</v>
      </c>
      <c r="Q212" s="353">
        <v>289000</v>
      </c>
    </row>
    <row r="213" spans="1:17" ht="70.5" customHeight="1" x14ac:dyDescent="0.25">
      <c r="A213" s="305" t="s">
        <v>458</v>
      </c>
      <c r="B213" s="306">
        <v>25475894</v>
      </c>
      <c r="C213" s="303" t="s">
        <v>318</v>
      </c>
      <c r="D213" s="303" t="s">
        <v>1385</v>
      </c>
      <c r="E213" s="306"/>
      <c r="F213" s="306">
        <v>8340162</v>
      </c>
      <c r="G213" s="307" t="s">
        <v>1168</v>
      </c>
      <c r="H213" s="307" t="s">
        <v>343</v>
      </c>
      <c r="I213" s="330" t="s">
        <v>300</v>
      </c>
      <c r="J213" s="305">
        <v>2</v>
      </c>
      <c r="K213" s="307">
        <v>0</v>
      </c>
      <c r="L213" s="308">
        <v>1320000</v>
      </c>
      <c r="M213" s="308">
        <f>0</f>
        <v>0</v>
      </c>
      <c r="N213" s="308">
        <v>1320000</v>
      </c>
      <c r="O213" s="308">
        <v>38000</v>
      </c>
      <c r="P213" s="368">
        <f>0</f>
        <v>0</v>
      </c>
      <c r="Q213" s="353">
        <v>38000</v>
      </c>
    </row>
    <row r="214" spans="1:17" ht="70.5" customHeight="1" x14ac:dyDescent="0.25">
      <c r="A214" s="305" t="s">
        <v>143</v>
      </c>
      <c r="B214" s="306">
        <v>26200481</v>
      </c>
      <c r="C214" s="303" t="s">
        <v>318</v>
      </c>
      <c r="D214" s="303" t="s">
        <v>1395</v>
      </c>
      <c r="E214" s="306" t="s">
        <v>1118</v>
      </c>
      <c r="F214" s="306">
        <v>3843439</v>
      </c>
      <c r="G214" s="307" t="s">
        <v>1155</v>
      </c>
      <c r="H214" s="307" t="s">
        <v>343</v>
      </c>
      <c r="I214" s="330" t="s">
        <v>300</v>
      </c>
      <c r="J214" s="305">
        <v>1.7</v>
      </c>
      <c r="K214" s="307">
        <v>0</v>
      </c>
      <c r="L214" s="308">
        <v>0</v>
      </c>
      <c r="M214" s="308">
        <f>0</f>
        <v>0</v>
      </c>
      <c r="N214" s="308">
        <v>0</v>
      </c>
      <c r="O214" s="308">
        <v>184000</v>
      </c>
      <c r="P214" s="368">
        <f>0</f>
        <v>0</v>
      </c>
      <c r="Q214" s="353">
        <v>184000</v>
      </c>
    </row>
    <row r="215" spans="1:17" ht="70.5" customHeight="1" x14ac:dyDescent="0.25">
      <c r="A215" s="305" t="s">
        <v>460</v>
      </c>
      <c r="B215" s="309" t="s">
        <v>461</v>
      </c>
      <c r="C215" s="303" t="s">
        <v>302</v>
      </c>
      <c r="D215" s="303" t="s">
        <v>1365</v>
      </c>
      <c r="E215" s="309"/>
      <c r="F215" s="306">
        <v>5773192</v>
      </c>
      <c r="G215" s="307" t="s">
        <v>1196</v>
      </c>
      <c r="H215" s="307" t="s">
        <v>325</v>
      </c>
      <c r="I215" s="330" t="s">
        <v>294</v>
      </c>
      <c r="J215" s="305">
        <v>8.7200000000000006</v>
      </c>
      <c r="K215" s="307">
        <v>0</v>
      </c>
      <c r="L215" s="308">
        <v>3612090</v>
      </c>
      <c r="M215" s="308">
        <f>0</f>
        <v>0</v>
      </c>
      <c r="N215" s="308">
        <v>3612090</v>
      </c>
      <c r="O215" s="308">
        <v>0</v>
      </c>
      <c r="P215" s="368">
        <f>0</f>
        <v>0</v>
      </c>
      <c r="Q215" s="353">
        <v>0</v>
      </c>
    </row>
    <row r="216" spans="1:17" ht="70.5" customHeight="1" x14ac:dyDescent="0.25">
      <c r="A216" s="305" t="s">
        <v>462</v>
      </c>
      <c r="B216" s="309" t="s">
        <v>463</v>
      </c>
      <c r="C216" s="303" t="s">
        <v>324</v>
      </c>
      <c r="D216" s="303" t="s">
        <v>1386</v>
      </c>
      <c r="E216" s="309"/>
      <c r="F216" s="306">
        <v>8719331</v>
      </c>
      <c r="G216" s="307" t="s">
        <v>1195</v>
      </c>
      <c r="H216" s="307" t="s">
        <v>325</v>
      </c>
      <c r="I216" s="330" t="s">
        <v>300</v>
      </c>
      <c r="J216" s="305">
        <v>26</v>
      </c>
      <c r="K216" s="307">
        <v>0</v>
      </c>
      <c r="L216" s="308">
        <v>8811250</v>
      </c>
      <c r="M216" s="308">
        <f>0</f>
        <v>0</v>
      </c>
      <c r="N216" s="308">
        <v>8811250</v>
      </c>
      <c r="O216" s="308">
        <v>0</v>
      </c>
      <c r="P216" s="368">
        <f>0</f>
        <v>0</v>
      </c>
      <c r="Q216" s="353">
        <v>0</v>
      </c>
    </row>
    <row r="217" spans="1:17" ht="70.5" customHeight="1" x14ac:dyDescent="0.25">
      <c r="A217" s="305" t="s">
        <v>462</v>
      </c>
      <c r="B217" s="309" t="s">
        <v>463</v>
      </c>
      <c r="C217" s="303" t="s">
        <v>324</v>
      </c>
      <c r="D217" s="303" t="s">
        <v>1386</v>
      </c>
      <c r="E217" s="309"/>
      <c r="F217" s="306">
        <v>3368051</v>
      </c>
      <c r="G217" s="307" t="s">
        <v>1144</v>
      </c>
      <c r="H217" s="307" t="s">
        <v>283</v>
      </c>
      <c r="I217" s="330" t="s">
        <v>278</v>
      </c>
      <c r="J217" s="305">
        <v>3.4</v>
      </c>
      <c r="K217" s="307">
        <v>5</v>
      </c>
      <c r="L217" s="308">
        <v>1280015</v>
      </c>
      <c r="M217" s="308">
        <f>0</f>
        <v>0</v>
      </c>
      <c r="N217" s="308">
        <v>1280015</v>
      </c>
      <c r="O217" s="308">
        <v>0</v>
      </c>
      <c r="P217" s="368">
        <f>0</f>
        <v>0</v>
      </c>
      <c r="Q217" s="353">
        <v>0</v>
      </c>
    </row>
    <row r="218" spans="1:17" ht="70.5" customHeight="1" x14ac:dyDescent="0.25">
      <c r="A218" s="305" t="s">
        <v>462</v>
      </c>
      <c r="B218" s="309" t="s">
        <v>463</v>
      </c>
      <c r="C218" s="303" t="s">
        <v>324</v>
      </c>
      <c r="D218" s="303" t="s">
        <v>1386</v>
      </c>
      <c r="E218" s="309"/>
      <c r="F218" s="306">
        <v>9313088</v>
      </c>
      <c r="G218" s="307" t="s">
        <v>1230</v>
      </c>
      <c r="H218" s="307" t="s">
        <v>297</v>
      </c>
      <c r="I218" s="330" t="s">
        <v>269</v>
      </c>
      <c r="J218" s="305">
        <v>2.2000000000000002</v>
      </c>
      <c r="K218" s="307">
        <v>0</v>
      </c>
      <c r="L218" s="308">
        <v>752000</v>
      </c>
      <c r="M218" s="308">
        <f>0</f>
        <v>0</v>
      </c>
      <c r="N218" s="308">
        <v>752000</v>
      </c>
      <c r="O218" s="308">
        <v>0</v>
      </c>
      <c r="P218" s="368">
        <f>0</f>
        <v>0</v>
      </c>
      <c r="Q218" s="353">
        <v>0</v>
      </c>
    </row>
    <row r="219" spans="1:17" ht="70.5" customHeight="1" x14ac:dyDescent="0.25">
      <c r="A219" s="305" t="s">
        <v>462</v>
      </c>
      <c r="B219" s="309" t="s">
        <v>463</v>
      </c>
      <c r="C219" s="303" t="s">
        <v>324</v>
      </c>
      <c r="D219" s="303" t="s">
        <v>1386</v>
      </c>
      <c r="E219" s="309"/>
      <c r="F219" s="306">
        <v>4234054</v>
      </c>
      <c r="G219" s="307" t="s">
        <v>1144</v>
      </c>
      <c r="H219" s="307" t="s">
        <v>285</v>
      </c>
      <c r="I219" s="330" t="s">
        <v>278</v>
      </c>
      <c r="J219" s="305">
        <v>43.05</v>
      </c>
      <c r="K219" s="307">
        <v>71</v>
      </c>
      <c r="L219" s="308">
        <v>10621460</v>
      </c>
      <c r="M219" s="308">
        <f>0</f>
        <v>0</v>
      </c>
      <c r="N219" s="308">
        <v>10621460</v>
      </c>
      <c r="O219" s="308">
        <v>0</v>
      </c>
      <c r="P219" s="368">
        <f>0</f>
        <v>0</v>
      </c>
      <c r="Q219" s="353">
        <v>0</v>
      </c>
    </row>
    <row r="220" spans="1:17" ht="70.5" customHeight="1" x14ac:dyDescent="0.25">
      <c r="A220" s="305" t="s">
        <v>462</v>
      </c>
      <c r="B220" s="309" t="s">
        <v>463</v>
      </c>
      <c r="C220" s="303" t="s">
        <v>324</v>
      </c>
      <c r="D220" s="303" t="s">
        <v>1386</v>
      </c>
      <c r="E220" s="309"/>
      <c r="F220" s="306">
        <v>9274680</v>
      </c>
      <c r="G220" s="307" t="s">
        <v>1144</v>
      </c>
      <c r="H220" s="307" t="s">
        <v>290</v>
      </c>
      <c r="I220" s="330" t="s">
        <v>278</v>
      </c>
      <c r="J220" s="305">
        <v>20.53</v>
      </c>
      <c r="K220" s="307">
        <v>24</v>
      </c>
      <c r="L220" s="308">
        <v>5533400</v>
      </c>
      <c r="M220" s="308">
        <f>0</f>
        <v>0</v>
      </c>
      <c r="N220" s="308">
        <v>5533400</v>
      </c>
      <c r="O220" s="308">
        <v>0</v>
      </c>
      <c r="P220" s="368">
        <f>0</f>
        <v>0</v>
      </c>
      <c r="Q220" s="353">
        <v>0</v>
      </c>
    </row>
    <row r="221" spans="1:17" ht="70.5" customHeight="1" x14ac:dyDescent="0.25">
      <c r="A221" s="305" t="s">
        <v>464</v>
      </c>
      <c r="B221" s="309" t="s">
        <v>465</v>
      </c>
      <c r="C221" s="303" t="s">
        <v>267</v>
      </c>
      <c r="D221" s="303" t="s">
        <v>1396</v>
      </c>
      <c r="E221" s="309" t="s">
        <v>1118</v>
      </c>
      <c r="F221" s="306">
        <v>2684509</v>
      </c>
      <c r="G221" s="307" t="s">
        <v>1130</v>
      </c>
      <c r="H221" s="307" t="s">
        <v>293</v>
      </c>
      <c r="I221" s="330" t="s">
        <v>294</v>
      </c>
      <c r="J221" s="305">
        <v>1.6</v>
      </c>
      <c r="K221" s="307">
        <v>0</v>
      </c>
      <c r="L221" s="308">
        <v>0</v>
      </c>
      <c r="M221" s="308">
        <f>0</f>
        <v>0</v>
      </c>
      <c r="N221" s="308">
        <v>0</v>
      </c>
      <c r="O221" s="308">
        <v>0</v>
      </c>
      <c r="P221" s="368">
        <f>0</f>
        <v>0</v>
      </c>
      <c r="Q221" s="353">
        <v>0</v>
      </c>
    </row>
    <row r="222" spans="1:17" ht="70.5" customHeight="1" x14ac:dyDescent="0.25">
      <c r="A222" s="317" t="s">
        <v>464</v>
      </c>
      <c r="B222" s="318" t="s">
        <v>465</v>
      </c>
      <c r="C222" s="303" t="s">
        <v>267</v>
      </c>
      <c r="D222" s="303" t="s">
        <v>1396</v>
      </c>
      <c r="E222" s="318" t="s">
        <v>1118</v>
      </c>
      <c r="F222" s="315">
        <v>4892203</v>
      </c>
      <c r="G222" s="319" t="s">
        <v>1179</v>
      </c>
      <c r="H222" s="319" t="s">
        <v>304</v>
      </c>
      <c r="I222" s="332" t="s">
        <v>294</v>
      </c>
      <c r="J222" s="305">
        <v>1</v>
      </c>
      <c r="K222" s="307">
        <v>0</v>
      </c>
      <c r="L222" s="308">
        <v>0</v>
      </c>
      <c r="M222" s="308">
        <f>0</f>
        <v>0</v>
      </c>
      <c r="N222" s="308">
        <v>0</v>
      </c>
      <c r="O222" s="308">
        <v>0</v>
      </c>
      <c r="P222" s="368">
        <f>0</f>
        <v>0</v>
      </c>
      <c r="Q222" s="353">
        <v>0</v>
      </c>
    </row>
    <row r="223" spans="1:17" ht="70.5" customHeight="1" x14ac:dyDescent="0.25">
      <c r="A223" s="317" t="s">
        <v>197</v>
      </c>
      <c r="B223" s="315">
        <v>46749411</v>
      </c>
      <c r="C223" s="303" t="s">
        <v>318</v>
      </c>
      <c r="D223" s="303" t="s">
        <v>1314</v>
      </c>
      <c r="E223" s="315">
        <v>0</v>
      </c>
      <c r="F223" s="316">
        <v>1226991</v>
      </c>
      <c r="G223" s="315" t="s">
        <v>1095</v>
      </c>
      <c r="H223" s="315" t="s">
        <v>290</v>
      </c>
      <c r="I223" s="332" t="s">
        <v>278</v>
      </c>
      <c r="J223" s="305">
        <v>9</v>
      </c>
      <c r="K223" s="307">
        <v>9</v>
      </c>
      <c r="L223" s="308">
        <v>5956009</v>
      </c>
      <c r="M223" s="308">
        <f>0</f>
        <v>0</v>
      </c>
      <c r="N223" s="308">
        <v>5956009</v>
      </c>
      <c r="O223" s="308">
        <v>451000</v>
      </c>
      <c r="P223" s="368">
        <f>0</f>
        <v>0</v>
      </c>
      <c r="Q223" s="353">
        <v>451000</v>
      </c>
    </row>
    <row r="224" spans="1:17" ht="70.5" customHeight="1" x14ac:dyDescent="0.25">
      <c r="A224" s="317" t="s">
        <v>367</v>
      </c>
      <c r="B224" s="315">
        <v>70932522</v>
      </c>
      <c r="C224" s="303" t="s">
        <v>296</v>
      </c>
      <c r="D224" s="303" t="s">
        <v>1323</v>
      </c>
      <c r="E224" s="315" t="s">
        <v>1101</v>
      </c>
      <c r="F224" s="316">
        <v>1660265</v>
      </c>
      <c r="G224" s="315" t="s">
        <v>1109</v>
      </c>
      <c r="H224" s="315" t="s">
        <v>283</v>
      </c>
      <c r="I224" s="332" t="s">
        <v>278</v>
      </c>
      <c r="J224" s="305">
        <v>8</v>
      </c>
      <c r="K224" s="307">
        <v>10</v>
      </c>
      <c r="L224" s="308">
        <v>1768200</v>
      </c>
      <c r="M224" s="308">
        <f>0</f>
        <v>0</v>
      </c>
      <c r="N224" s="308">
        <v>1768200</v>
      </c>
      <c r="O224" s="308">
        <v>0</v>
      </c>
      <c r="P224" s="368">
        <f>0</f>
        <v>0</v>
      </c>
      <c r="Q224" s="353">
        <v>0</v>
      </c>
    </row>
    <row r="225" spans="1:17" ht="70.5" customHeight="1" x14ac:dyDescent="0.25">
      <c r="A225" s="317" t="s">
        <v>123</v>
      </c>
      <c r="B225" s="315">
        <v>8751641</v>
      </c>
      <c r="C225" s="303" t="s">
        <v>372</v>
      </c>
      <c r="D225" s="303" t="s">
        <v>1326</v>
      </c>
      <c r="E225" s="315">
        <v>0</v>
      </c>
      <c r="F225" s="316">
        <v>8752756</v>
      </c>
      <c r="G225" s="315" t="s">
        <v>1222</v>
      </c>
      <c r="H225" s="315" t="s">
        <v>330</v>
      </c>
      <c r="I225" s="332" t="s">
        <v>300</v>
      </c>
      <c r="J225" s="305">
        <v>3</v>
      </c>
      <c r="K225" s="307">
        <v>0</v>
      </c>
      <c r="L225" s="308">
        <v>2457000</v>
      </c>
      <c r="M225" s="308">
        <v>359974.31</v>
      </c>
      <c r="N225" s="308">
        <v>2097025.69</v>
      </c>
      <c r="O225" s="308">
        <v>326000</v>
      </c>
      <c r="P225" s="368">
        <f>0</f>
        <v>0</v>
      </c>
      <c r="Q225" s="353">
        <v>326000</v>
      </c>
    </row>
    <row r="226" spans="1:17" ht="70.5" customHeight="1" x14ac:dyDescent="0.25">
      <c r="A226" s="317" t="s">
        <v>373</v>
      </c>
      <c r="B226" s="315">
        <v>8848254</v>
      </c>
      <c r="C226" s="303" t="s">
        <v>372</v>
      </c>
      <c r="D226" s="303" t="s">
        <v>1327</v>
      </c>
      <c r="E226" s="315">
        <v>0</v>
      </c>
      <c r="F226" s="316">
        <v>7356784</v>
      </c>
      <c r="G226" s="315" t="s">
        <v>1241</v>
      </c>
      <c r="H226" s="315" t="s">
        <v>330</v>
      </c>
      <c r="I226" s="332" t="s">
        <v>300</v>
      </c>
      <c r="J226" s="305">
        <v>3</v>
      </c>
      <c r="K226" s="307">
        <v>0</v>
      </c>
      <c r="L226" s="308">
        <v>2260000</v>
      </c>
      <c r="M226" s="308">
        <f>0</f>
        <v>0</v>
      </c>
      <c r="N226" s="308">
        <v>2260000</v>
      </c>
      <c r="O226" s="308">
        <v>326000</v>
      </c>
      <c r="P226" s="368">
        <f>0</f>
        <v>0</v>
      </c>
      <c r="Q226" s="353">
        <v>326000</v>
      </c>
    </row>
    <row r="227" spans="1:17" ht="70.5" customHeight="1" x14ac:dyDescent="0.25">
      <c r="A227" s="317" t="s">
        <v>222</v>
      </c>
      <c r="B227" s="315">
        <v>7934335</v>
      </c>
      <c r="C227" s="303" t="s">
        <v>372</v>
      </c>
      <c r="D227" s="303" t="s">
        <v>1328</v>
      </c>
      <c r="E227" s="315">
        <v>0</v>
      </c>
      <c r="F227" s="316">
        <v>8935632</v>
      </c>
      <c r="G227" s="315" t="s">
        <v>1241</v>
      </c>
      <c r="H227" s="315" t="s">
        <v>330</v>
      </c>
      <c r="I227" s="332" t="s">
        <v>300</v>
      </c>
      <c r="J227" s="305">
        <v>3</v>
      </c>
      <c r="K227" s="307">
        <v>0</v>
      </c>
      <c r="L227" s="308">
        <v>2457000</v>
      </c>
      <c r="M227" s="308">
        <f>0</f>
        <v>0</v>
      </c>
      <c r="N227" s="308">
        <v>2457000</v>
      </c>
      <c r="O227" s="308">
        <v>326000</v>
      </c>
      <c r="P227" s="368">
        <f>0</f>
        <v>0</v>
      </c>
      <c r="Q227" s="353">
        <v>326000</v>
      </c>
    </row>
    <row r="228" spans="1:17" ht="70.5" customHeight="1" x14ac:dyDescent="0.25">
      <c r="A228" s="317" t="s">
        <v>97</v>
      </c>
      <c r="B228" s="315">
        <v>26623064</v>
      </c>
      <c r="C228" s="303" t="s">
        <v>374</v>
      </c>
      <c r="D228" s="303" t="s">
        <v>1349</v>
      </c>
      <c r="E228" s="315">
        <v>0</v>
      </c>
      <c r="F228" s="316">
        <v>1201824</v>
      </c>
      <c r="G228" s="315">
        <v>0</v>
      </c>
      <c r="H228" s="315" t="s">
        <v>337</v>
      </c>
      <c r="I228" s="332" t="s">
        <v>278</v>
      </c>
      <c r="J228" s="305">
        <v>0.6</v>
      </c>
      <c r="K228" s="307">
        <v>2</v>
      </c>
      <c r="L228" s="308">
        <v>300000</v>
      </c>
      <c r="M228" s="308">
        <f>0</f>
        <v>0</v>
      </c>
      <c r="N228" s="308">
        <v>300000</v>
      </c>
      <c r="O228" s="308">
        <v>48000</v>
      </c>
      <c r="P228" s="368">
        <f>0</f>
        <v>0</v>
      </c>
      <c r="Q228" s="353">
        <v>48000</v>
      </c>
    </row>
    <row r="229" spans="1:17" ht="70.5" customHeight="1" x14ac:dyDescent="0.25">
      <c r="A229" s="333" t="s">
        <v>210</v>
      </c>
      <c r="B229" s="322">
        <v>27004295</v>
      </c>
      <c r="C229" s="303" t="s">
        <v>374</v>
      </c>
      <c r="D229" s="303" t="s">
        <v>1368</v>
      </c>
      <c r="E229" s="322">
        <v>0</v>
      </c>
      <c r="F229" s="322">
        <v>3912232</v>
      </c>
      <c r="G229" s="315" t="s">
        <v>1125</v>
      </c>
      <c r="H229" s="315" t="s">
        <v>314</v>
      </c>
      <c r="I229" s="332" t="s">
        <v>300</v>
      </c>
      <c r="J229" s="305">
        <v>1</v>
      </c>
      <c r="K229" s="307">
        <v>0</v>
      </c>
      <c r="L229" s="308">
        <v>598800</v>
      </c>
      <c r="M229" s="308">
        <f>0</f>
        <v>0</v>
      </c>
      <c r="N229" s="308">
        <v>598800</v>
      </c>
      <c r="O229" s="308">
        <v>109000</v>
      </c>
      <c r="P229" s="368">
        <f>0</f>
        <v>0</v>
      </c>
      <c r="Q229" s="353">
        <v>109000</v>
      </c>
    </row>
    <row r="230" spans="1:17" ht="70.5" customHeight="1" x14ac:dyDescent="0.25">
      <c r="A230" s="334" t="s">
        <v>306</v>
      </c>
      <c r="B230" s="316">
        <v>6627421</v>
      </c>
      <c r="C230" s="303" t="s">
        <v>307</v>
      </c>
      <c r="D230" s="303" t="s">
        <v>1366</v>
      </c>
      <c r="E230" s="320"/>
      <c r="F230" s="316">
        <v>1273599</v>
      </c>
      <c r="G230" s="316" t="s">
        <v>1097</v>
      </c>
      <c r="H230" s="316" t="s">
        <v>308</v>
      </c>
      <c r="I230" s="335" t="s">
        <v>300</v>
      </c>
      <c r="J230" s="305">
        <v>3</v>
      </c>
      <c r="K230" s="307">
        <v>0</v>
      </c>
      <c r="L230" s="308">
        <v>1800000</v>
      </c>
      <c r="M230" s="308">
        <f>0</f>
        <v>0</v>
      </c>
      <c r="N230" s="308">
        <v>1800000</v>
      </c>
      <c r="O230" s="308">
        <v>326000</v>
      </c>
      <c r="P230" s="368">
        <f>0</f>
        <v>0</v>
      </c>
      <c r="Q230" s="353">
        <v>326000</v>
      </c>
    </row>
    <row r="231" spans="1:17" ht="70.5" customHeight="1" x14ac:dyDescent="0.25">
      <c r="A231" s="334" t="s">
        <v>445</v>
      </c>
      <c r="B231" s="321" t="s">
        <v>470</v>
      </c>
      <c r="C231" s="303" t="s">
        <v>318</v>
      </c>
      <c r="D231" s="303" t="s">
        <v>1374</v>
      </c>
      <c r="E231" s="321">
        <v>0</v>
      </c>
      <c r="F231" s="316">
        <v>1760206</v>
      </c>
      <c r="G231" s="321" t="s">
        <v>445</v>
      </c>
      <c r="H231" s="321" t="s">
        <v>290</v>
      </c>
      <c r="I231" s="336" t="s">
        <v>278</v>
      </c>
      <c r="J231" s="305">
        <v>12.5</v>
      </c>
      <c r="K231" s="307">
        <v>40</v>
      </c>
      <c r="L231" s="308">
        <v>11231280</v>
      </c>
      <c r="M231" s="308">
        <f>0</f>
        <v>0</v>
      </c>
      <c r="N231" s="308">
        <v>11231280</v>
      </c>
      <c r="O231" s="308">
        <v>550000</v>
      </c>
      <c r="P231" s="368">
        <f>0</f>
        <v>0</v>
      </c>
      <c r="Q231" s="353">
        <v>550000</v>
      </c>
    </row>
    <row r="232" spans="1:17" ht="70.5" customHeight="1" x14ac:dyDescent="0.25">
      <c r="A232" s="334" t="s">
        <v>468</v>
      </c>
      <c r="B232" s="321">
        <v>10898174</v>
      </c>
      <c r="C232" s="303" t="s">
        <v>324</v>
      </c>
      <c r="D232" s="303" t="s">
        <v>1308</v>
      </c>
      <c r="E232" s="321">
        <v>0</v>
      </c>
      <c r="F232" s="316">
        <v>1979411</v>
      </c>
      <c r="G232" s="321" t="s">
        <v>468</v>
      </c>
      <c r="H232" s="321" t="s">
        <v>290</v>
      </c>
      <c r="I232" s="336" t="s">
        <v>278</v>
      </c>
      <c r="J232" s="305">
        <v>32.74</v>
      </c>
      <c r="K232" s="307">
        <v>60</v>
      </c>
      <c r="L232" s="308">
        <v>14132442</v>
      </c>
      <c r="M232" s="308">
        <f>0</f>
        <v>0</v>
      </c>
      <c r="N232" s="308">
        <v>14132442</v>
      </c>
      <c r="O232" s="308">
        <v>0</v>
      </c>
      <c r="P232" s="368">
        <f>0</f>
        <v>0</v>
      </c>
      <c r="Q232" s="353">
        <v>0</v>
      </c>
    </row>
    <row r="233" spans="1:17" ht="70.5" customHeight="1" x14ac:dyDescent="0.25">
      <c r="A233" s="334" t="s">
        <v>471</v>
      </c>
      <c r="B233" s="321">
        <v>60498021</v>
      </c>
      <c r="C233" s="303" t="s">
        <v>472</v>
      </c>
      <c r="D233" s="303" t="s">
        <v>1397</v>
      </c>
      <c r="E233" s="321" t="s">
        <v>1118</v>
      </c>
      <c r="F233" s="316">
        <v>3867796</v>
      </c>
      <c r="G233" s="321" t="s">
        <v>1249</v>
      </c>
      <c r="H233" s="321" t="s">
        <v>268</v>
      </c>
      <c r="I233" s="336" t="s">
        <v>300</v>
      </c>
      <c r="J233" s="305">
        <v>2.4</v>
      </c>
      <c r="K233" s="307">
        <v>0</v>
      </c>
      <c r="L233" s="308">
        <v>0</v>
      </c>
      <c r="M233" s="308">
        <f>0</f>
        <v>0</v>
      </c>
      <c r="N233" s="308">
        <v>0</v>
      </c>
      <c r="O233" s="308">
        <v>0</v>
      </c>
      <c r="P233" s="368">
        <f>0</f>
        <v>0</v>
      </c>
      <c r="Q233" s="353">
        <v>0</v>
      </c>
    </row>
    <row r="234" spans="1:17" ht="70.5" customHeight="1" x14ac:dyDescent="0.25">
      <c r="A234" s="334" t="s">
        <v>469</v>
      </c>
      <c r="B234" s="321">
        <v>10808108</v>
      </c>
      <c r="C234" s="303" t="s">
        <v>324</v>
      </c>
      <c r="D234" s="303" t="s">
        <v>1312</v>
      </c>
      <c r="E234" s="321">
        <v>0</v>
      </c>
      <c r="F234" s="316">
        <v>4193951</v>
      </c>
      <c r="G234" s="321" t="s">
        <v>1250</v>
      </c>
      <c r="H234" s="321" t="s">
        <v>285</v>
      </c>
      <c r="I234" s="336" t="s">
        <v>278</v>
      </c>
      <c r="J234" s="305">
        <v>86</v>
      </c>
      <c r="K234" s="307">
        <v>166</v>
      </c>
      <c r="L234" s="308">
        <v>22449604</v>
      </c>
      <c r="M234" s="308">
        <f>0</f>
        <v>0</v>
      </c>
      <c r="N234" s="308">
        <v>22449604</v>
      </c>
      <c r="O234" s="308">
        <v>0</v>
      </c>
      <c r="P234" s="368">
        <f>0</f>
        <v>0</v>
      </c>
      <c r="Q234" s="353">
        <v>0</v>
      </c>
    </row>
    <row r="235" spans="1:17" ht="70.5" customHeight="1" x14ac:dyDescent="0.25">
      <c r="A235" s="334" t="s">
        <v>468</v>
      </c>
      <c r="B235" s="321">
        <v>10898174</v>
      </c>
      <c r="C235" s="303" t="s">
        <v>324</v>
      </c>
      <c r="D235" s="303" t="s">
        <v>1308</v>
      </c>
      <c r="E235" s="321">
        <v>0</v>
      </c>
      <c r="F235" s="316">
        <v>5448456</v>
      </c>
      <c r="G235" s="321" t="s">
        <v>468</v>
      </c>
      <c r="H235" s="321" t="s">
        <v>285</v>
      </c>
      <c r="I235" s="336" t="s">
        <v>278</v>
      </c>
      <c r="J235" s="305">
        <v>14.76</v>
      </c>
      <c r="K235" s="307">
        <v>37</v>
      </c>
      <c r="L235" s="308">
        <v>4874960</v>
      </c>
      <c r="M235" s="308">
        <f>0</f>
        <v>0</v>
      </c>
      <c r="N235" s="308">
        <v>4874960</v>
      </c>
      <c r="O235" s="308">
        <v>0</v>
      </c>
      <c r="P235" s="368">
        <f>0</f>
        <v>0</v>
      </c>
      <c r="Q235" s="353">
        <v>0</v>
      </c>
    </row>
    <row r="236" spans="1:17" ht="70.5" customHeight="1" x14ac:dyDescent="0.25">
      <c r="A236" s="334" t="s">
        <v>469</v>
      </c>
      <c r="B236" s="321">
        <v>10808108</v>
      </c>
      <c r="C236" s="303" t="s">
        <v>324</v>
      </c>
      <c r="D236" s="303" t="s">
        <v>1312</v>
      </c>
      <c r="E236" s="321">
        <v>0</v>
      </c>
      <c r="F236" s="316">
        <v>8425917</v>
      </c>
      <c r="G236" s="321" t="s">
        <v>1250</v>
      </c>
      <c r="H236" s="321" t="s">
        <v>290</v>
      </c>
      <c r="I236" s="336" t="s">
        <v>278</v>
      </c>
      <c r="J236" s="305">
        <v>25</v>
      </c>
      <c r="K236" s="307">
        <v>34</v>
      </c>
      <c r="L236" s="308">
        <v>8980968</v>
      </c>
      <c r="M236" s="308">
        <f>0</f>
        <v>0</v>
      </c>
      <c r="N236" s="308">
        <v>8980968</v>
      </c>
      <c r="O236" s="308">
        <v>0</v>
      </c>
      <c r="P236" s="368">
        <f>0</f>
        <v>0</v>
      </c>
      <c r="Q236" s="353">
        <v>0</v>
      </c>
    </row>
    <row r="237" spans="1:17" ht="70.5" customHeight="1" x14ac:dyDescent="0.25">
      <c r="A237" s="334" t="s">
        <v>210</v>
      </c>
      <c r="B237" s="321">
        <v>27004295</v>
      </c>
      <c r="C237" s="303" t="s">
        <v>374</v>
      </c>
      <c r="D237" s="303" t="s">
        <v>1368</v>
      </c>
      <c r="E237" s="321">
        <v>0</v>
      </c>
      <c r="F237" s="316">
        <v>8466886</v>
      </c>
      <c r="G237" s="321" t="s">
        <v>1251</v>
      </c>
      <c r="H237" s="321" t="s">
        <v>268</v>
      </c>
      <c r="I237" s="336" t="s">
        <v>300</v>
      </c>
      <c r="J237" s="305">
        <v>2</v>
      </c>
      <c r="K237" s="307">
        <v>0</v>
      </c>
      <c r="L237" s="308">
        <v>1299600</v>
      </c>
      <c r="M237" s="308">
        <f>0</f>
        <v>0</v>
      </c>
      <c r="N237" s="308">
        <v>1299600</v>
      </c>
      <c r="O237" s="308">
        <v>131000</v>
      </c>
      <c r="P237" s="368">
        <f>0</f>
        <v>0</v>
      </c>
      <c r="Q237" s="353">
        <v>131000</v>
      </c>
    </row>
    <row r="238" spans="1:17" ht="70.5" customHeight="1" x14ac:dyDescent="0.25">
      <c r="A238" s="334" t="s">
        <v>215</v>
      </c>
      <c r="B238" s="321">
        <v>49295101</v>
      </c>
      <c r="C238" s="303" t="s">
        <v>288</v>
      </c>
      <c r="D238" s="303" t="s">
        <v>1316</v>
      </c>
      <c r="E238" s="321">
        <v>0</v>
      </c>
      <c r="F238" s="316">
        <v>9909982</v>
      </c>
      <c r="G238" s="321" t="s">
        <v>1175</v>
      </c>
      <c r="H238" s="321" t="s">
        <v>343</v>
      </c>
      <c r="I238" s="336" t="s">
        <v>300</v>
      </c>
      <c r="J238" s="305">
        <v>8</v>
      </c>
      <c r="K238" s="307">
        <v>0</v>
      </c>
      <c r="L238" s="308">
        <v>0</v>
      </c>
      <c r="M238" s="308">
        <f>0</f>
        <v>0</v>
      </c>
      <c r="N238" s="308">
        <v>0</v>
      </c>
      <c r="O238" s="308">
        <v>600000</v>
      </c>
      <c r="P238" s="368">
        <f>0</f>
        <v>0</v>
      </c>
      <c r="Q238" s="353">
        <v>600000</v>
      </c>
    </row>
    <row r="239" spans="1:17" ht="70.5" customHeight="1" x14ac:dyDescent="0.25">
      <c r="A239" s="334" t="s">
        <v>146</v>
      </c>
      <c r="B239" s="321" t="s">
        <v>430</v>
      </c>
      <c r="C239" s="303" t="s">
        <v>340</v>
      </c>
      <c r="D239" s="303" t="s">
        <v>1359</v>
      </c>
      <c r="E239" s="321"/>
      <c r="F239" s="316">
        <v>4785596</v>
      </c>
      <c r="G239" s="321" t="s">
        <v>1246</v>
      </c>
      <c r="H239" s="321" t="s">
        <v>1245</v>
      </c>
      <c r="I239" s="336" t="s">
        <v>278</v>
      </c>
      <c r="J239" s="305">
        <v>15</v>
      </c>
      <c r="K239" s="307">
        <v>8</v>
      </c>
      <c r="L239" s="308">
        <v>12480000</v>
      </c>
      <c r="M239" s="308">
        <f>0</f>
        <v>0</v>
      </c>
      <c r="N239" s="308">
        <v>12480000</v>
      </c>
      <c r="O239" s="308">
        <v>1200000</v>
      </c>
      <c r="P239" s="368">
        <f>0</f>
        <v>0</v>
      </c>
      <c r="Q239" s="353">
        <v>1200000</v>
      </c>
    </row>
    <row r="240" spans="1:17" ht="70.5" customHeight="1" x14ac:dyDescent="0.25">
      <c r="A240" s="334" t="s">
        <v>466</v>
      </c>
      <c r="B240" s="321" t="s">
        <v>467</v>
      </c>
      <c r="C240" s="303" t="s">
        <v>374</v>
      </c>
      <c r="D240" s="303" t="s">
        <v>1276</v>
      </c>
      <c r="E240" s="321">
        <v>0</v>
      </c>
      <c r="F240" s="316">
        <v>4929866</v>
      </c>
      <c r="G240" s="321" t="s">
        <v>1228</v>
      </c>
      <c r="H240" s="321" t="s">
        <v>290</v>
      </c>
      <c r="I240" s="336" t="s">
        <v>278</v>
      </c>
      <c r="J240" s="305">
        <v>14</v>
      </c>
      <c r="K240" s="307">
        <v>15</v>
      </c>
      <c r="L240" s="308">
        <v>2871521</v>
      </c>
      <c r="M240" s="308">
        <f>0</f>
        <v>0</v>
      </c>
      <c r="N240" s="308">
        <v>2871521</v>
      </c>
      <c r="O240" s="308">
        <v>0</v>
      </c>
      <c r="P240" s="368">
        <f>0</f>
        <v>0</v>
      </c>
      <c r="Q240" s="353">
        <v>0</v>
      </c>
    </row>
    <row r="241" spans="1:17" ht="70.5" customHeight="1" x14ac:dyDescent="0.25">
      <c r="A241" s="334" t="s">
        <v>1252</v>
      </c>
      <c r="B241" s="321">
        <v>2250306</v>
      </c>
      <c r="C241" s="303" t="s">
        <v>318</v>
      </c>
      <c r="D241" s="303" t="s">
        <v>1277</v>
      </c>
      <c r="E241" s="321">
        <v>0</v>
      </c>
      <c r="F241" s="316">
        <v>6551256</v>
      </c>
      <c r="G241" s="321" t="s">
        <v>1253</v>
      </c>
      <c r="H241" s="321" t="s">
        <v>314</v>
      </c>
      <c r="I241" s="336" t="s">
        <v>1254</v>
      </c>
      <c r="J241" s="305">
        <v>4</v>
      </c>
      <c r="K241" s="307">
        <v>0</v>
      </c>
      <c r="L241" s="308">
        <v>0</v>
      </c>
      <c r="M241" s="308">
        <f>0</f>
        <v>0</v>
      </c>
      <c r="N241" s="308">
        <v>0</v>
      </c>
      <c r="O241" s="308">
        <v>0</v>
      </c>
      <c r="P241" s="368">
        <f>0</f>
        <v>0</v>
      </c>
      <c r="Q241" s="353">
        <v>0</v>
      </c>
    </row>
    <row r="242" spans="1:17" ht="70.5" customHeight="1" x14ac:dyDescent="0.25">
      <c r="A242" s="334" t="s">
        <v>319</v>
      </c>
      <c r="B242" s="321" t="s">
        <v>320</v>
      </c>
      <c r="C242" s="303" t="s">
        <v>318</v>
      </c>
      <c r="D242" s="303" t="s">
        <v>1390</v>
      </c>
      <c r="E242" s="321" t="s">
        <v>1118</v>
      </c>
      <c r="F242" s="316">
        <v>5418910</v>
      </c>
      <c r="G242" s="321" t="s">
        <v>1255</v>
      </c>
      <c r="H242" s="321" t="s">
        <v>314</v>
      </c>
      <c r="I242" s="336" t="s">
        <v>300</v>
      </c>
      <c r="J242" s="305">
        <v>0.5</v>
      </c>
      <c r="K242" s="307">
        <v>0</v>
      </c>
      <c r="L242" s="308">
        <v>0</v>
      </c>
      <c r="M242" s="308">
        <f>0</f>
        <v>0</v>
      </c>
      <c r="N242" s="308">
        <v>0</v>
      </c>
      <c r="O242" s="308">
        <v>54000</v>
      </c>
      <c r="P242" s="368">
        <f>0</f>
        <v>0</v>
      </c>
      <c r="Q242" s="353">
        <v>54000</v>
      </c>
    </row>
    <row r="243" spans="1:17" ht="70.5" customHeight="1" x14ac:dyDescent="0.25">
      <c r="A243" s="334" t="s">
        <v>868</v>
      </c>
      <c r="B243" s="321">
        <v>71294392</v>
      </c>
      <c r="C243" s="303" t="s">
        <v>324</v>
      </c>
      <c r="D243" s="303" t="s">
        <v>1290</v>
      </c>
      <c r="E243" s="321" t="s">
        <v>1101</v>
      </c>
      <c r="F243" s="316">
        <v>7387665</v>
      </c>
      <c r="G243" s="321" t="s">
        <v>1256</v>
      </c>
      <c r="H243" s="321" t="s">
        <v>343</v>
      </c>
      <c r="I243" s="336" t="s">
        <v>1257</v>
      </c>
      <c r="J243" s="305">
        <v>2.5</v>
      </c>
      <c r="K243" s="307">
        <v>0</v>
      </c>
      <c r="L243" s="308">
        <v>1650000</v>
      </c>
      <c r="M243" s="308">
        <f>0</f>
        <v>0</v>
      </c>
      <c r="N243" s="308">
        <v>1650000</v>
      </c>
      <c r="O243" s="308">
        <v>0</v>
      </c>
      <c r="P243" s="368">
        <f>0</f>
        <v>0</v>
      </c>
      <c r="Q243" s="353">
        <v>0</v>
      </c>
    </row>
    <row r="244" spans="1:17" ht="70.5" customHeight="1" x14ac:dyDescent="0.25">
      <c r="A244" s="334" t="s">
        <v>341</v>
      </c>
      <c r="B244" s="321">
        <v>73633993</v>
      </c>
      <c r="C244" s="303" t="s">
        <v>340</v>
      </c>
      <c r="D244" s="303" t="s">
        <v>1295</v>
      </c>
      <c r="E244" s="321" t="s">
        <v>1258</v>
      </c>
      <c r="F244" s="316">
        <v>3154692</v>
      </c>
      <c r="G244" s="321" t="s">
        <v>341</v>
      </c>
      <c r="H244" s="321" t="s">
        <v>314</v>
      </c>
      <c r="I244" s="336" t="s">
        <v>294</v>
      </c>
      <c r="J244" s="305">
        <v>4</v>
      </c>
      <c r="K244" s="307">
        <v>0</v>
      </c>
      <c r="L244" s="308">
        <v>2737800</v>
      </c>
      <c r="M244" s="308">
        <f>0</f>
        <v>0</v>
      </c>
      <c r="N244" s="308">
        <v>2737800</v>
      </c>
      <c r="O244" s="308">
        <v>434000</v>
      </c>
      <c r="P244" s="368">
        <f>0</f>
        <v>0</v>
      </c>
      <c r="Q244" s="353">
        <v>434000</v>
      </c>
    </row>
    <row r="245" spans="1:17" ht="70.5" customHeight="1" x14ac:dyDescent="0.25">
      <c r="A245" s="334" t="s">
        <v>886</v>
      </c>
      <c r="B245" s="321">
        <v>9088091</v>
      </c>
      <c r="C245" s="303" t="s">
        <v>374</v>
      </c>
      <c r="D245" s="303" t="s">
        <v>1297</v>
      </c>
      <c r="E245" s="321">
        <v>0</v>
      </c>
      <c r="F245" s="316">
        <v>4757012</v>
      </c>
      <c r="G245" s="321" t="s">
        <v>886</v>
      </c>
      <c r="H245" s="321" t="s">
        <v>268</v>
      </c>
      <c r="I245" s="336" t="s">
        <v>300</v>
      </c>
      <c r="J245" s="305">
        <v>1</v>
      </c>
      <c r="K245" s="307">
        <v>0</v>
      </c>
      <c r="L245" s="308">
        <v>649800</v>
      </c>
      <c r="M245" s="308">
        <f>0</f>
        <v>0</v>
      </c>
      <c r="N245" s="308">
        <v>649800</v>
      </c>
      <c r="O245" s="308">
        <v>65000</v>
      </c>
      <c r="P245" s="368">
        <f>0</f>
        <v>0</v>
      </c>
      <c r="Q245" s="353">
        <v>65000</v>
      </c>
    </row>
    <row r="246" spans="1:17" ht="70.5" customHeight="1" x14ac:dyDescent="0.25">
      <c r="A246" s="334" t="s">
        <v>929</v>
      </c>
      <c r="B246" s="321" t="s">
        <v>1259</v>
      </c>
      <c r="C246" s="303" t="s">
        <v>374</v>
      </c>
      <c r="D246" s="303" t="s">
        <v>1317</v>
      </c>
      <c r="E246" s="321">
        <v>0</v>
      </c>
      <c r="F246" s="316">
        <v>4263940</v>
      </c>
      <c r="G246" s="321" t="s">
        <v>929</v>
      </c>
      <c r="H246" s="321" t="s">
        <v>321</v>
      </c>
      <c r="I246" s="336" t="s">
        <v>294</v>
      </c>
      <c r="J246" s="305">
        <v>4.5</v>
      </c>
      <c r="K246" s="307">
        <v>0</v>
      </c>
      <c r="L246" s="308">
        <v>2167600</v>
      </c>
      <c r="M246" s="308">
        <f>0</f>
        <v>0</v>
      </c>
      <c r="N246" s="308">
        <v>2167600</v>
      </c>
      <c r="O246" s="308">
        <v>175000</v>
      </c>
      <c r="P246" s="368">
        <f>0</f>
        <v>0</v>
      </c>
      <c r="Q246" s="353">
        <v>175000</v>
      </c>
    </row>
    <row r="247" spans="1:17" ht="70.5" customHeight="1" x14ac:dyDescent="0.25">
      <c r="A247" s="334" t="s">
        <v>225</v>
      </c>
      <c r="B247" s="321" t="s">
        <v>444</v>
      </c>
      <c r="C247" s="303" t="s">
        <v>288</v>
      </c>
      <c r="D247" s="303" t="s">
        <v>1372</v>
      </c>
      <c r="E247" s="321">
        <v>0</v>
      </c>
      <c r="F247" s="316">
        <v>1895540</v>
      </c>
      <c r="G247" s="321" t="s">
        <v>1260</v>
      </c>
      <c r="H247" s="321" t="s">
        <v>343</v>
      </c>
      <c r="I247" s="336" t="s">
        <v>300</v>
      </c>
      <c r="J247" s="305">
        <v>4</v>
      </c>
      <c r="K247" s="307">
        <v>0</v>
      </c>
      <c r="L247" s="308">
        <v>0</v>
      </c>
      <c r="M247" s="308">
        <f>0</f>
        <v>0</v>
      </c>
      <c r="N247" s="308">
        <v>0</v>
      </c>
      <c r="O247" s="308">
        <v>0</v>
      </c>
      <c r="P247" s="368">
        <f>0</f>
        <v>0</v>
      </c>
      <c r="Q247" s="353">
        <v>0</v>
      </c>
    </row>
    <row r="248" spans="1:17" ht="70.5" customHeight="1" x14ac:dyDescent="0.25">
      <c r="A248" s="334" t="s">
        <v>225</v>
      </c>
      <c r="B248" s="321" t="s">
        <v>1261</v>
      </c>
      <c r="C248" s="303" t="s">
        <v>288</v>
      </c>
      <c r="D248" s="303" t="s">
        <v>1372</v>
      </c>
      <c r="E248" s="321">
        <v>0</v>
      </c>
      <c r="F248" s="316">
        <v>3488670</v>
      </c>
      <c r="G248" s="321" t="s">
        <v>1262</v>
      </c>
      <c r="H248" s="321" t="s">
        <v>314</v>
      </c>
      <c r="I248" s="336" t="s">
        <v>300</v>
      </c>
      <c r="J248" s="305">
        <v>2.5</v>
      </c>
      <c r="K248" s="307">
        <v>0</v>
      </c>
      <c r="L248" s="308">
        <v>1755000</v>
      </c>
      <c r="M248" s="308">
        <f>0</f>
        <v>0</v>
      </c>
      <c r="N248" s="308">
        <v>1755000</v>
      </c>
      <c r="O248" s="308">
        <v>271000</v>
      </c>
      <c r="P248" s="368">
        <f>0</f>
        <v>0</v>
      </c>
      <c r="Q248" s="353">
        <v>271000</v>
      </c>
    </row>
    <row r="249" spans="1:17" ht="70.5" customHeight="1" x14ac:dyDescent="0.25">
      <c r="A249" s="334" t="s">
        <v>454</v>
      </c>
      <c r="B249" s="321">
        <v>75143861</v>
      </c>
      <c r="C249" s="303" t="s">
        <v>324</v>
      </c>
      <c r="D249" s="303" t="s">
        <v>1381</v>
      </c>
      <c r="E249" s="321">
        <v>0</v>
      </c>
      <c r="F249" s="316">
        <v>4290863</v>
      </c>
      <c r="G249" s="321" t="s">
        <v>454</v>
      </c>
      <c r="H249" s="321" t="s">
        <v>268</v>
      </c>
      <c r="I249" s="336" t="s">
        <v>300</v>
      </c>
      <c r="J249" s="305">
        <v>1</v>
      </c>
      <c r="K249" s="307">
        <v>0</v>
      </c>
      <c r="L249" s="308">
        <v>570000</v>
      </c>
      <c r="M249" s="308">
        <f>0</f>
        <v>0</v>
      </c>
      <c r="N249" s="308">
        <v>570000</v>
      </c>
      <c r="O249" s="308">
        <v>0</v>
      </c>
      <c r="P249" s="368">
        <f>0</f>
        <v>0</v>
      </c>
      <c r="Q249" s="353">
        <v>0</v>
      </c>
    </row>
    <row r="250" spans="1:17" ht="70.5" customHeight="1" x14ac:dyDescent="0.25">
      <c r="A250" s="334" t="s">
        <v>466</v>
      </c>
      <c r="B250" s="321" t="s">
        <v>467</v>
      </c>
      <c r="C250" s="303" t="s">
        <v>374</v>
      </c>
      <c r="D250" s="303" t="s">
        <v>1276</v>
      </c>
      <c r="E250" s="321">
        <v>0</v>
      </c>
      <c r="F250" s="316">
        <v>3663466</v>
      </c>
      <c r="G250" s="321" t="s">
        <v>1136</v>
      </c>
      <c r="H250" s="321" t="s">
        <v>285</v>
      </c>
      <c r="I250" s="336" t="s">
        <v>278</v>
      </c>
      <c r="J250" s="305">
        <v>5.26</v>
      </c>
      <c r="K250" s="307">
        <v>15</v>
      </c>
      <c r="L250" s="308">
        <v>2983500</v>
      </c>
      <c r="M250" s="308">
        <f>0</f>
        <v>0</v>
      </c>
      <c r="N250" s="308">
        <v>2983500</v>
      </c>
      <c r="O250" s="308">
        <v>0</v>
      </c>
      <c r="P250" s="368">
        <f>0</f>
        <v>0</v>
      </c>
      <c r="Q250" s="353">
        <v>0</v>
      </c>
    </row>
    <row r="251" spans="1:17" ht="70.5" customHeight="1" x14ac:dyDescent="0.25">
      <c r="A251" s="334" t="s">
        <v>466</v>
      </c>
      <c r="B251" s="321" t="s">
        <v>467</v>
      </c>
      <c r="C251" s="303" t="s">
        <v>374</v>
      </c>
      <c r="D251" s="303" t="s">
        <v>1276</v>
      </c>
      <c r="E251" s="321">
        <v>0</v>
      </c>
      <c r="F251" s="316">
        <v>1824704</v>
      </c>
      <c r="G251" s="321" t="s">
        <v>1228</v>
      </c>
      <c r="H251" s="321" t="s">
        <v>290</v>
      </c>
      <c r="I251" s="336" t="s">
        <v>278</v>
      </c>
      <c r="J251" s="305">
        <v>28.02</v>
      </c>
      <c r="K251" s="307">
        <v>78</v>
      </c>
      <c r="L251" s="308">
        <v>17288151</v>
      </c>
      <c r="M251" s="308">
        <f>0</f>
        <v>0</v>
      </c>
      <c r="N251" s="308">
        <v>17288151</v>
      </c>
      <c r="O251" s="308">
        <v>0</v>
      </c>
      <c r="P251" s="368">
        <f>0</f>
        <v>0</v>
      </c>
      <c r="Q251" s="353">
        <v>0</v>
      </c>
    </row>
    <row r="252" spans="1:17" ht="70.5" customHeight="1" x14ac:dyDescent="0.25">
      <c r="A252" s="334" t="s">
        <v>940</v>
      </c>
      <c r="B252" s="321">
        <v>17710430</v>
      </c>
      <c r="C252" s="303" t="s">
        <v>340</v>
      </c>
      <c r="D252" s="303" t="s">
        <v>1322</v>
      </c>
      <c r="E252" s="321">
        <v>0</v>
      </c>
      <c r="F252" s="316">
        <v>4282428</v>
      </c>
      <c r="G252" s="321" t="s">
        <v>1263</v>
      </c>
      <c r="H252" s="321" t="s">
        <v>314</v>
      </c>
      <c r="I252" s="336" t="s">
        <v>300</v>
      </c>
      <c r="J252" s="305">
        <v>2</v>
      </c>
      <c r="K252" s="307">
        <v>0</v>
      </c>
      <c r="L252" s="308">
        <v>1368900</v>
      </c>
      <c r="M252" s="308">
        <f>0</f>
        <v>0</v>
      </c>
      <c r="N252" s="308">
        <v>1368900</v>
      </c>
      <c r="O252" s="308">
        <v>217000</v>
      </c>
      <c r="P252" s="368">
        <f>0</f>
        <v>0</v>
      </c>
      <c r="Q252" s="353">
        <v>217000</v>
      </c>
    </row>
    <row r="253" spans="1:17" ht="70.5" customHeight="1" x14ac:dyDescent="0.25">
      <c r="A253" s="334" t="s">
        <v>1264</v>
      </c>
      <c r="B253" s="321" t="s">
        <v>1265</v>
      </c>
      <c r="C253" s="303" t="s">
        <v>1271</v>
      </c>
      <c r="D253" s="303" t="s">
        <v>1274</v>
      </c>
      <c r="E253" s="321">
        <v>0</v>
      </c>
      <c r="F253" s="316">
        <v>6145585</v>
      </c>
      <c r="G253" s="321" t="s">
        <v>1266</v>
      </c>
      <c r="H253" s="321" t="s">
        <v>290</v>
      </c>
      <c r="I253" s="336" t="s">
        <v>278</v>
      </c>
      <c r="J253" s="305">
        <v>45.5</v>
      </c>
      <c r="K253" s="307">
        <v>82</v>
      </c>
      <c r="L253" s="308">
        <v>16940480</v>
      </c>
      <c r="M253" s="308">
        <f>0</f>
        <v>0</v>
      </c>
      <c r="N253" s="308">
        <v>16940480</v>
      </c>
      <c r="O253" s="308">
        <v>0</v>
      </c>
      <c r="P253" s="368">
        <f>0</f>
        <v>0</v>
      </c>
      <c r="Q253" s="353">
        <v>0</v>
      </c>
    </row>
    <row r="254" spans="1:17" ht="70.5" customHeight="1" x14ac:dyDescent="0.25">
      <c r="A254" s="334" t="s">
        <v>868</v>
      </c>
      <c r="B254" s="321">
        <v>71294392</v>
      </c>
      <c r="C254" s="303" t="s">
        <v>324</v>
      </c>
      <c r="D254" s="303" t="s">
        <v>1290</v>
      </c>
      <c r="E254" s="321" t="s">
        <v>1101</v>
      </c>
      <c r="F254" s="316">
        <v>7575761</v>
      </c>
      <c r="G254" s="321" t="s">
        <v>1256</v>
      </c>
      <c r="H254" s="321" t="s">
        <v>289</v>
      </c>
      <c r="I254" s="336" t="s">
        <v>1267</v>
      </c>
      <c r="J254" s="305">
        <v>3.5</v>
      </c>
      <c r="K254" s="307">
        <v>0</v>
      </c>
      <c r="L254" s="308">
        <v>2457000</v>
      </c>
      <c r="M254" s="308">
        <f>0</f>
        <v>0</v>
      </c>
      <c r="N254" s="308">
        <v>2457000</v>
      </c>
      <c r="O254" s="308">
        <v>0</v>
      </c>
      <c r="P254" s="368">
        <f>0</f>
        <v>0</v>
      </c>
      <c r="Q254" s="353">
        <v>0</v>
      </c>
    </row>
    <row r="255" spans="1:17" ht="70.5" customHeight="1" x14ac:dyDescent="0.25">
      <c r="A255" s="334" t="s">
        <v>1268</v>
      </c>
      <c r="B255" s="321">
        <v>43464343</v>
      </c>
      <c r="C255" s="303" t="s">
        <v>340</v>
      </c>
      <c r="D255" s="303" t="s">
        <v>1294</v>
      </c>
      <c r="E255" s="321">
        <v>0</v>
      </c>
      <c r="F255" s="316">
        <v>6361701</v>
      </c>
      <c r="G255" s="321" t="s">
        <v>1125</v>
      </c>
      <c r="H255" s="321" t="s">
        <v>314</v>
      </c>
      <c r="I255" s="336" t="s">
        <v>300</v>
      </c>
      <c r="J255" s="305">
        <v>3</v>
      </c>
      <c r="K255" s="307">
        <v>0</v>
      </c>
      <c r="L255" s="308">
        <v>877500</v>
      </c>
      <c r="M255" s="308">
        <f>0</f>
        <v>0</v>
      </c>
      <c r="N255" s="308">
        <v>877500</v>
      </c>
      <c r="O255" s="308">
        <v>0</v>
      </c>
      <c r="P255" s="368">
        <f>0</f>
        <v>0</v>
      </c>
      <c r="Q255" s="353">
        <v>0</v>
      </c>
    </row>
    <row r="256" spans="1:17" ht="70.5" customHeight="1" thickBot="1" x14ac:dyDescent="0.3">
      <c r="A256" s="337" t="s">
        <v>1269</v>
      </c>
      <c r="B256" s="338">
        <v>17639786</v>
      </c>
      <c r="C256" s="339" t="s">
        <v>302</v>
      </c>
      <c r="D256" s="339" t="s">
        <v>1398</v>
      </c>
      <c r="E256" s="338" t="s">
        <v>1118</v>
      </c>
      <c r="F256" s="340">
        <v>4310589</v>
      </c>
      <c r="G256" s="338" t="s">
        <v>1270</v>
      </c>
      <c r="H256" s="338" t="s">
        <v>325</v>
      </c>
      <c r="I256" s="341" t="s">
        <v>294</v>
      </c>
      <c r="J256" s="347">
        <v>2</v>
      </c>
      <c r="K256" s="348">
        <v>0</v>
      </c>
      <c r="L256" s="349">
        <v>0</v>
      </c>
      <c r="M256" s="349">
        <f>0</f>
        <v>0</v>
      </c>
      <c r="N256" s="349">
        <v>0</v>
      </c>
      <c r="O256" s="349">
        <v>0</v>
      </c>
      <c r="P256" s="370">
        <f>0</f>
        <v>0</v>
      </c>
      <c r="Q256" s="354">
        <v>0</v>
      </c>
    </row>
  </sheetData>
  <autoFilter ref="A3:Q256" xr:uid="{156D29AC-6A87-464E-8F49-9F71F2D0EE17}"/>
  <mergeCells count="1">
    <mergeCell ref="J2:Q2"/>
  </mergeCells>
  <conditionalFormatting sqref="F2:F1048576">
    <cfRule type="duplicateValues" dxfId="2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E8CD-DF06-47DF-A7FD-4F2BEEE72E83}">
  <dimension ref="A1:T261"/>
  <sheetViews>
    <sheetView tabSelected="1" zoomScale="90" zoomScaleNormal="90" workbookViewId="0">
      <pane xSplit="9" ySplit="3" topLeftCell="J4" activePane="bottomRight" state="frozen"/>
      <selection pane="topRight" activeCell="H1" sqref="H1"/>
      <selection pane="bottomLeft" activeCell="A4" sqref="A4"/>
      <selection pane="bottomRight" activeCell="W3" sqref="W3"/>
    </sheetView>
  </sheetViews>
  <sheetFormatPr defaultRowHeight="15" x14ac:dyDescent="0.25"/>
  <cols>
    <col min="1" max="1" width="27.5703125" customWidth="1"/>
    <col min="4" max="4" width="14.85546875" customWidth="1"/>
    <col min="8" max="8" width="20.85546875" customWidth="1"/>
    <col min="14" max="14" width="12.5703125" customWidth="1"/>
    <col min="15" max="15" width="15.5703125" customWidth="1"/>
    <col min="16" max="16" width="12.5703125" customWidth="1"/>
    <col min="17" max="17" width="14.140625" customWidth="1"/>
    <col min="18" max="18" width="15.5703125" customWidth="1"/>
    <col min="19" max="19" width="12.140625" customWidth="1"/>
  </cols>
  <sheetData>
    <row r="1" spans="1:19" ht="15.75" thickBot="1" x14ac:dyDescent="0.3"/>
    <row r="2" spans="1:19" ht="15.75" thickBot="1" x14ac:dyDescent="0.3">
      <c r="J2" s="383">
        <v>2025</v>
      </c>
      <c r="K2" s="384"/>
      <c r="L2" s="384"/>
      <c r="M2" s="384"/>
      <c r="N2" s="384"/>
      <c r="O2" s="384"/>
      <c r="P2" s="384"/>
      <c r="Q2" s="384"/>
      <c r="R2" s="384"/>
      <c r="S2" s="385"/>
    </row>
    <row r="3" spans="1:19" ht="61.5" customHeight="1" thickBot="1" x14ac:dyDescent="0.3">
      <c r="A3" s="350" t="s">
        <v>238</v>
      </c>
      <c r="B3" s="351" t="s">
        <v>2</v>
      </c>
      <c r="C3" s="351" t="s">
        <v>239</v>
      </c>
      <c r="D3" s="351" t="s">
        <v>1412</v>
      </c>
      <c r="E3" s="351" t="s">
        <v>1089</v>
      </c>
      <c r="F3" s="351" t="s">
        <v>240</v>
      </c>
      <c r="G3" s="351" t="s">
        <v>1090</v>
      </c>
      <c r="H3" s="351" t="s">
        <v>241</v>
      </c>
      <c r="I3" s="363" t="s">
        <v>242</v>
      </c>
      <c r="J3" s="358" t="s">
        <v>1423</v>
      </c>
      <c r="K3" s="359" t="s">
        <v>1421</v>
      </c>
      <c r="L3" s="359" t="s">
        <v>1427</v>
      </c>
      <c r="M3" s="359" t="s">
        <v>1400</v>
      </c>
      <c r="N3" s="360" t="s">
        <v>777</v>
      </c>
      <c r="O3" s="361" t="s">
        <v>1401</v>
      </c>
      <c r="P3" s="361" t="s">
        <v>1243</v>
      </c>
      <c r="Q3" s="361" t="s">
        <v>1244</v>
      </c>
      <c r="R3" s="361" t="s">
        <v>1242</v>
      </c>
      <c r="S3" s="362" t="s">
        <v>1399</v>
      </c>
    </row>
    <row r="4" spans="1:19" ht="70.5" customHeight="1" x14ac:dyDescent="0.25">
      <c r="A4" s="302" t="s">
        <v>266</v>
      </c>
      <c r="B4" s="303">
        <v>65635591</v>
      </c>
      <c r="C4" s="303" t="s">
        <v>374</v>
      </c>
      <c r="D4" s="303" t="s">
        <v>1272</v>
      </c>
      <c r="E4" s="303" t="s">
        <v>1201</v>
      </c>
      <c r="F4" s="303">
        <v>6552817</v>
      </c>
      <c r="G4" s="304" t="s">
        <v>1449</v>
      </c>
      <c r="H4" s="304" t="s">
        <v>268</v>
      </c>
      <c r="I4" s="329" t="s">
        <v>269</v>
      </c>
      <c r="J4" s="364">
        <v>5.9</v>
      </c>
      <c r="K4" s="357">
        <v>0</v>
      </c>
      <c r="L4" s="357">
        <v>5.9</v>
      </c>
      <c r="M4" s="357">
        <v>0</v>
      </c>
      <c r="N4" s="357">
        <v>3833820</v>
      </c>
      <c r="O4" s="357"/>
      <c r="P4" s="357">
        <v>3833820</v>
      </c>
      <c r="Q4" s="357">
        <v>423000</v>
      </c>
      <c r="R4" s="357">
        <v>0</v>
      </c>
      <c r="S4" s="357">
        <v>423000</v>
      </c>
    </row>
    <row r="5" spans="1:19" ht="70.5" customHeight="1" x14ac:dyDescent="0.25">
      <c r="A5" s="305" t="s">
        <v>266</v>
      </c>
      <c r="B5" s="306">
        <v>65635591</v>
      </c>
      <c r="C5" s="303" t="s">
        <v>374</v>
      </c>
      <c r="D5" s="303" t="s">
        <v>1272</v>
      </c>
      <c r="E5" s="306" t="s">
        <v>1118</v>
      </c>
      <c r="F5" s="306">
        <v>4142726</v>
      </c>
      <c r="G5" s="304" t="s">
        <v>1536</v>
      </c>
      <c r="H5" s="307" t="s">
        <v>270</v>
      </c>
      <c r="I5" s="330" t="s">
        <v>271</v>
      </c>
      <c r="J5" s="364">
        <v>2.4500000000000002</v>
      </c>
      <c r="K5" s="357">
        <v>0</v>
      </c>
      <c r="L5" s="357">
        <v>2.4500000000000002</v>
      </c>
      <c r="M5" s="356">
        <v>10</v>
      </c>
      <c r="N5" s="357">
        <v>0</v>
      </c>
      <c r="O5" s="356"/>
      <c r="P5" s="356">
        <v>0</v>
      </c>
      <c r="Q5" s="357">
        <v>224000</v>
      </c>
      <c r="R5" s="357">
        <v>0</v>
      </c>
      <c r="S5" s="357">
        <v>224000</v>
      </c>
    </row>
    <row r="6" spans="1:19" ht="70.5" customHeight="1" x14ac:dyDescent="0.25">
      <c r="A6" s="305" t="s">
        <v>266</v>
      </c>
      <c r="B6" s="306">
        <v>65635591</v>
      </c>
      <c r="C6" s="303" t="s">
        <v>374</v>
      </c>
      <c r="D6" s="303" t="s">
        <v>1272</v>
      </c>
      <c r="E6" s="306" t="s">
        <v>1118</v>
      </c>
      <c r="F6" s="306">
        <v>4853448</v>
      </c>
      <c r="G6" s="304" t="s">
        <v>1177</v>
      </c>
      <c r="H6" s="307" t="s">
        <v>277</v>
      </c>
      <c r="I6" s="330" t="s">
        <v>278</v>
      </c>
      <c r="J6" s="364">
        <v>8.35</v>
      </c>
      <c r="K6" s="357">
        <v>0</v>
      </c>
      <c r="L6" s="357">
        <v>8.35</v>
      </c>
      <c r="M6" s="356">
        <v>15</v>
      </c>
      <c r="N6" s="357">
        <v>0</v>
      </c>
      <c r="O6" s="356"/>
      <c r="P6" s="356">
        <v>0</v>
      </c>
      <c r="Q6" s="357">
        <v>761000</v>
      </c>
      <c r="R6" s="357">
        <v>0</v>
      </c>
      <c r="S6" s="357">
        <v>761000</v>
      </c>
    </row>
    <row r="7" spans="1:19" ht="70.5" customHeight="1" x14ac:dyDescent="0.25">
      <c r="A7" s="305" t="s">
        <v>1433</v>
      </c>
      <c r="B7" s="309">
        <v>24160369</v>
      </c>
      <c r="C7" s="303" t="s">
        <v>282</v>
      </c>
      <c r="D7" s="303" t="s">
        <v>1273</v>
      </c>
      <c r="E7" s="309"/>
      <c r="F7" s="306">
        <v>9450189</v>
      </c>
      <c r="G7" s="304" t="s">
        <v>1173</v>
      </c>
      <c r="H7" s="307" t="s">
        <v>283</v>
      </c>
      <c r="I7" s="330" t="s">
        <v>278</v>
      </c>
      <c r="J7" s="364">
        <v>6.45</v>
      </c>
      <c r="K7" s="357">
        <v>0</v>
      </c>
      <c r="L7" s="357">
        <v>6.45</v>
      </c>
      <c r="M7" s="356">
        <v>6</v>
      </c>
      <c r="N7" s="357">
        <v>3080143</v>
      </c>
      <c r="O7" s="356"/>
      <c r="P7" s="356">
        <v>3080143</v>
      </c>
      <c r="Q7" s="357">
        <v>155000</v>
      </c>
      <c r="R7" s="357">
        <v>0</v>
      </c>
      <c r="S7" s="357">
        <v>155000</v>
      </c>
    </row>
    <row r="8" spans="1:19" ht="70.5" customHeight="1" x14ac:dyDescent="0.25">
      <c r="A8" s="305" t="s">
        <v>1433</v>
      </c>
      <c r="B8" s="309">
        <v>24160369</v>
      </c>
      <c r="C8" s="303" t="s">
        <v>282</v>
      </c>
      <c r="D8" s="303" t="s">
        <v>1273</v>
      </c>
      <c r="E8" s="309"/>
      <c r="F8" s="306">
        <v>4530859</v>
      </c>
      <c r="G8" s="304" t="s">
        <v>1173</v>
      </c>
      <c r="H8" s="307" t="s">
        <v>285</v>
      </c>
      <c r="I8" s="330" t="s">
        <v>278</v>
      </c>
      <c r="J8" s="364">
        <v>18</v>
      </c>
      <c r="K8" s="357">
        <v>0</v>
      </c>
      <c r="L8" s="357">
        <v>18</v>
      </c>
      <c r="M8" s="356">
        <v>30</v>
      </c>
      <c r="N8" s="357">
        <v>6194198</v>
      </c>
      <c r="O8" s="356"/>
      <c r="P8" s="356">
        <v>6194198</v>
      </c>
      <c r="Q8" s="357">
        <v>500000</v>
      </c>
      <c r="R8" s="357">
        <v>0</v>
      </c>
      <c r="S8" s="357">
        <v>500000</v>
      </c>
    </row>
    <row r="9" spans="1:19" ht="70.5" customHeight="1" x14ac:dyDescent="0.25">
      <c r="A9" s="305" t="s">
        <v>1402</v>
      </c>
      <c r="B9" s="306">
        <v>24676977</v>
      </c>
      <c r="C9" s="303" t="s">
        <v>1271</v>
      </c>
      <c r="D9" s="303" t="s">
        <v>1429</v>
      </c>
      <c r="E9" s="306"/>
      <c r="F9" s="306">
        <v>6145585</v>
      </c>
      <c r="G9" s="304" t="s">
        <v>1450</v>
      </c>
      <c r="H9" s="307" t="s">
        <v>290</v>
      </c>
      <c r="I9" s="330" t="s">
        <v>278</v>
      </c>
      <c r="J9" s="364">
        <v>54</v>
      </c>
      <c r="K9" s="357">
        <v>0</v>
      </c>
      <c r="L9" s="357">
        <v>54</v>
      </c>
      <c r="M9" s="356">
        <v>82</v>
      </c>
      <c r="N9" s="357">
        <v>22655978</v>
      </c>
      <c r="O9" s="356"/>
      <c r="P9" s="356">
        <v>22655978</v>
      </c>
      <c r="Q9" s="357">
        <v>1333000</v>
      </c>
      <c r="R9" s="357">
        <v>0</v>
      </c>
      <c r="S9" s="357">
        <v>1333000</v>
      </c>
    </row>
    <row r="10" spans="1:19" ht="70.5" customHeight="1" x14ac:dyDescent="0.25">
      <c r="A10" s="311" t="s">
        <v>287</v>
      </c>
      <c r="B10" s="312">
        <v>44224711</v>
      </c>
      <c r="C10" s="303" t="s">
        <v>288</v>
      </c>
      <c r="D10" s="303" t="s">
        <v>1275</v>
      </c>
      <c r="E10" s="312"/>
      <c r="F10" s="312">
        <v>5293571</v>
      </c>
      <c r="G10" s="304" t="s">
        <v>1186</v>
      </c>
      <c r="H10" s="310" t="s">
        <v>289</v>
      </c>
      <c r="I10" s="331" t="s">
        <v>269</v>
      </c>
      <c r="J10" s="364">
        <v>6.6</v>
      </c>
      <c r="K10" s="357">
        <v>0</v>
      </c>
      <c r="L10" s="357">
        <v>6.6</v>
      </c>
      <c r="M10" s="356">
        <v>0</v>
      </c>
      <c r="N10" s="357">
        <v>3512838</v>
      </c>
      <c r="O10" s="356"/>
      <c r="P10" s="356">
        <v>3512838</v>
      </c>
      <c r="Q10" s="357">
        <v>240000</v>
      </c>
      <c r="R10" s="357">
        <v>0</v>
      </c>
      <c r="S10" s="357">
        <v>240000</v>
      </c>
    </row>
    <row r="11" spans="1:19" ht="70.5" customHeight="1" x14ac:dyDescent="0.25">
      <c r="A11" s="305" t="s">
        <v>466</v>
      </c>
      <c r="B11" s="309" t="s">
        <v>467</v>
      </c>
      <c r="C11" s="303" t="s">
        <v>374</v>
      </c>
      <c r="D11" s="303" t="s">
        <v>1276</v>
      </c>
      <c r="E11" s="309"/>
      <c r="F11" s="306">
        <v>3663466</v>
      </c>
      <c r="G11" s="304" t="s">
        <v>1452</v>
      </c>
      <c r="H11" s="307" t="s">
        <v>285</v>
      </c>
      <c r="I11" s="330" t="s">
        <v>278</v>
      </c>
      <c r="J11" s="364">
        <v>5.26</v>
      </c>
      <c r="K11" s="357">
        <v>0</v>
      </c>
      <c r="L11" s="357">
        <v>5.26</v>
      </c>
      <c r="M11" s="356">
        <v>15</v>
      </c>
      <c r="N11" s="357">
        <v>3351079</v>
      </c>
      <c r="O11" s="356"/>
      <c r="P11" s="356">
        <v>3351079</v>
      </c>
      <c r="Q11" s="357">
        <v>340000</v>
      </c>
      <c r="R11" s="357">
        <v>0</v>
      </c>
      <c r="S11" s="357">
        <v>340000</v>
      </c>
    </row>
    <row r="12" spans="1:19" ht="70.5" customHeight="1" x14ac:dyDescent="0.25">
      <c r="A12" s="305" t="s">
        <v>466</v>
      </c>
      <c r="B12" s="306" t="s">
        <v>467</v>
      </c>
      <c r="C12" s="303" t="s">
        <v>374</v>
      </c>
      <c r="D12" s="303" t="s">
        <v>1276</v>
      </c>
      <c r="E12" s="306"/>
      <c r="F12" s="306">
        <v>4929866</v>
      </c>
      <c r="G12" s="304" t="s">
        <v>1453</v>
      </c>
      <c r="H12" s="307" t="s">
        <v>290</v>
      </c>
      <c r="I12" s="330" t="s">
        <v>278</v>
      </c>
      <c r="J12" s="364">
        <v>7.36</v>
      </c>
      <c r="K12" s="357">
        <v>0</v>
      </c>
      <c r="L12" s="357">
        <v>7.36</v>
      </c>
      <c r="M12" s="356">
        <v>15</v>
      </c>
      <c r="N12" s="357">
        <v>2957667</v>
      </c>
      <c r="O12" s="356"/>
      <c r="P12" s="356">
        <v>2957667</v>
      </c>
      <c r="Q12" s="357">
        <v>475000</v>
      </c>
      <c r="R12" s="357">
        <v>0</v>
      </c>
      <c r="S12" s="357">
        <v>475000</v>
      </c>
    </row>
    <row r="13" spans="1:19" ht="70.5" customHeight="1" x14ac:dyDescent="0.25">
      <c r="A13" s="305" t="s">
        <v>466</v>
      </c>
      <c r="B13" s="306" t="s">
        <v>467</v>
      </c>
      <c r="C13" s="303" t="s">
        <v>374</v>
      </c>
      <c r="D13" s="303" t="s">
        <v>1276</v>
      </c>
      <c r="E13" s="306"/>
      <c r="F13" s="306">
        <v>1824704</v>
      </c>
      <c r="G13" s="304" t="s">
        <v>1451</v>
      </c>
      <c r="H13" s="307" t="s">
        <v>290</v>
      </c>
      <c r="I13" s="330" t="s">
        <v>278</v>
      </c>
      <c r="J13" s="364">
        <v>28.02</v>
      </c>
      <c r="K13" s="357">
        <v>0</v>
      </c>
      <c r="L13" s="357">
        <v>28.02</v>
      </c>
      <c r="M13" s="356">
        <v>78</v>
      </c>
      <c r="N13" s="357">
        <v>19954190</v>
      </c>
      <c r="O13" s="356"/>
      <c r="P13" s="356">
        <v>19954190</v>
      </c>
      <c r="Q13" s="357">
        <v>650000</v>
      </c>
      <c r="R13" s="357">
        <v>0</v>
      </c>
      <c r="S13" s="357">
        <v>650000</v>
      </c>
    </row>
    <row r="14" spans="1:19" ht="70.5" customHeight="1" x14ac:dyDescent="0.25">
      <c r="A14" s="313" t="s">
        <v>1252</v>
      </c>
      <c r="B14" s="306">
        <v>2250306</v>
      </c>
      <c r="C14" s="303" t="s">
        <v>318</v>
      </c>
      <c r="D14" s="303" t="s">
        <v>1442</v>
      </c>
      <c r="E14" s="306"/>
      <c r="F14" s="306">
        <v>6551256</v>
      </c>
      <c r="G14" s="304" t="s">
        <v>1537</v>
      </c>
      <c r="H14" s="307" t="s">
        <v>314</v>
      </c>
      <c r="I14" s="330" t="s">
        <v>1254</v>
      </c>
      <c r="J14" s="364">
        <v>0</v>
      </c>
      <c r="K14" s="357">
        <v>4</v>
      </c>
      <c r="L14" s="357">
        <v>4</v>
      </c>
      <c r="M14" s="356">
        <v>0</v>
      </c>
      <c r="N14" s="357">
        <v>0</v>
      </c>
      <c r="O14" s="356"/>
      <c r="P14" s="356">
        <v>0</v>
      </c>
      <c r="Q14" s="357" t="s">
        <v>814</v>
      </c>
      <c r="R14" s="357">
        <v>0</v>
      </c>
      <c r="S14" s="357">
        <v>0</v>
      </c>
    </row>
    <row r="15" spans="1:19" ht="70.5" customHeight="1" x14ac:dyDescent="0.25">
      <c r="A15" s="313" t="s">
        <v>291</v>
      </c>
      <c r="B15" s="309" t="s">
        <v>292</v>
      </c>
      <c r="C15" s="303" t="s">
        <v>374</v>
      </c>
      <c r="D15" s="303" t="s">
        <v>1434</v>
      </c>
      <c r="E15" s="309" t="s">
        <v>1118</v>
      </c>
      <c r="F15" s="306">
        <v>8384795</v>
      </c>
      <c r="G15" s="304" t="s">
        <v>291</v>
      </c>
      <c r="H15" s="307" t="s">
        <v>293</v>
      </c>
      <c r="I15" s="330" t="s">
        <v>294</v>
      </c>
      <c r="J15" s="364">
        <v>5.04</v>
      </c>
      <c r="K15" s="357">
        <v>0</v>
      </c>
      <c r="L15" s="357">
        <v>5.04</v>
      </c>
      <c r="M15" s="356">
        <v>0</v>
      </c>
      <c r="N15" s="357">
        <v>0</v>
      </c>
      <c r="O15" s="356"/>
      <c r="P15" s="356">
        <v>0</v>
      </c>
      <c r="Q15" s="357">
        <v>325000</v>
      </c>
      <c r="R15" s="357">
        <v>0</v>
      </c>
      <c r="S15" s="357">
        <v>325000</v>
      </c>
    </row>
    <row r="16" spans="1:19" ht="70.5" customHeight="1" x14ac:dyDescent="0.25">
      <c r="A16" s="305" t="s">
        <v>295</v>
      </c>
      <c r="B16" s="306">
        <v>71220071</v>
      </c>
      <c r="C16" s="303" t="s">
        <v>296</v>
      </c>
      <c r="D16" s="303" t="s">
        <v>1278</v>
      </c>
      <c r="E16" s="306" t="s">
        <v>1101</v>
      </c>
      <c r="F16" s="306">
        <v>3190180</v>
      </c>
      <c r="G16" s="304" t="s">
        <v>1142</v>
      </c>
      <c r="H16" s="307" t="s">
        <v>297</v>
      </c>
      <c r="I16" s="330" t="s">
        <v>269</v>
      </c>
      <c r="J16" s="364">
        <v>5.9</v>
      </c>
      <c r="K16" s="357">
        <v>0</v>
      </c>
      <c r="L16" s="357">
        <v>5.9</v>
      </c>
      <c r="M16" s="356">
        <v>0</v>
      </c>
      <c r="N16" s="357">
        <v>3358044</v>
      </c>
      <c r="O16" s="356"/>
      <c r="P16" s="356">
        <v>3358044</v>
      </c>
      <c r="Q16" s="357" t="s">
        <v>814</v>
      </c>
      <c r="R16" s="357">
        <v>0</v>
      </c>
      <c r="S16" s="357">
        <v>0</v>
      </c>
    </row>
    <row r="17" spans="1:19" ht="70.5" customHeight="1" x14ac:dyDescent="0.25">
      <c r="A17" s="305" t="s">
        <v>295</v>
      </c>
      <c r="B17" s="306">
        <v>71220071</v>
      </c>
      <c r="C17" s="303" t="s">
        <v>296</v>
      </c>
      <c r="D17" s="303" t="s">
        <v>1278</v>
      </c>
      <c r="E17" s="306" t="s">
        <v>1101</v>
      </c>
      <c r="F17" s="306">
        <v>4094333</v>
      </c>
      <c r="G17" s="304" t="s">
        <v>1114</v>
      </c>
      <c r="H17" s="307" t="s">
        <v>298</v>
      </c>
      <c r="I17" s="330" t="s">
        <v>278</v>
      </c>
      <c r="J17" s="364">
        <v>39.6</v>
      </c>
      <c r="K17" s="357">
        <v>0</v>
      </c>
      <c r="L17" s="357">
        <v>39.6</v>
      </c>
      <c r="M17" s="356">
        <v>27</v>
      </c>
      <c r="N17" s="357">
        <v>9782816</v>
      </c>
      <c r="O17" s="356"/>
      <c r="P17" s="356">
        <v>9782816</v>
      </c>
      <c r="Q17" s="357" t="s">
        <v>814</v>
      </c>
      <c r="R17" s="357">
        <v>0</v>
      </c>
      <c r="S17" s="357">
        <v>0</v>
      </c>
    </row>
    <row r="18" spans="1:19" ht="70.5" customHeight="1" x14ac:dyDescent="0.25">
      <c r="A18" s="305" t="s">
        <v>299</v>
      </c>
      <c r="B18" s="306">
        <v>47607483</v>
      </c>
      <c r="C18" s="303" t="s">
        <v>288</v>
      </c>
      <c r="D18" s="303" t="s">
        <v>1443</v>
      </c>
      <c r="E18" s="306" t="s">
        <v>1118</v>
      </c>
      <c r="F18" s="306">
        <v>9015328</v>
      </c>
      <c r="G18" s="304" t="s">
        <v>1538</v>
      </c>
      <c r="H18" s="307" t="s">
        <v>268</v>
      </c>
      <c r="I18" s="330" t="s">
        <v>300</v>
      </c>
      <c r="J18" s="364">
        <v>0.8</v>
      </c>
      <c r="K18" s="357">
        <v>0</v>
      </c>
      <c r="L18" s="357">
        <v>0.8</v>
      </c>
      <c r="M18" s="356">
        <v>0</v>
      </c>
      <c r="N18" s="357">
        <v>0</v>
      </c>
      <c r="O18" s="356"/>
      <c r="P18" s="356">
        <v>0</v>
      </c>
      <c r="Q18" s="357" t="s">
        <v>814</v>
      </c>
      <c r="R18" s="357">
        <v>0</v>
      </c>
      <c r="S18" s="357">
        <v>0</v>
      </c>
    </row>
    <row r="19" spans="1:19" ht="70.5" customHeight="1" x14ac:dyDescent="0.25">
      <c r="A19" s="305" t="s">
        <v>126</v>
      </c>
      <c r="B19" s="306" t="s">
        <v>301</v>
      </c>
      <c r="C19" s="303" t="s">
        <v>302</v>
      </c>
      <c r="D19" s="303" t="s">
        <v>1279</v>
      </c>
      <c r="E19" s="306"/>
      <c r="F19" s="306">
        <v>7885329</v>
      </c>
      <c r="G19" s="304" t="s">
        <v>1120</v>
      </c>
      <c r="H19" s="307" t="s">
        <v>289</v>
      </c>
      <c r="I19" s="330" t="s">
        <v>269</v>
      </c>
      <c r="J19" s="364">
        <v>5.3</v>
      </c>
      <c r="K19" s="357">
        <v>0</v>
      </c>
      <c r="L19" s="357">
        <v>5.3</v>
      </c>
      <c r="M19" s="356">
        <v>0</v>
      </c>
      <c r="N19" s="357">
        <v>4261283</v>
      </c>
      <c r="O19" s="356"/>
      <c r="P19" s="356">
        <v>4261283</v>
      </c>
      <c r="Q19" s="357">
        <v>500000</v>
      </c>
      <c r="R19" s="357">
        <v>0</v>
      </c>
      <c r="S19" s="357">
        <v>500000</v>
      </c>
    </row>
    <row r="20" spans="1:19" ht="70.5" customHeight="1" x14ac:dyDescent="0.25">
      <c r="A20" s="305" t="s">
        <v>303</v>
      </c>
      <c r="B20" s="306">
        <v>70868476</v>
      </c>
      <c r="C20" s="303" t="s">
        <v>296</v>
      </c>
      <c r="D20" s="303" t="s">
        <v>1280</v>
      </c>
      <c r="E20" s="306" t="s">
        <v>1101</v>
      </c>
      <c r="F20" s="306">
        <v>1701584</v>
      </c>
      <c r="G20" s="304" t="s">
        <v>1454</v>
      </c>
      <c r="H20" s="307" t="s">
        <v>495</v>
      </c>
      <c r="I20" s="330" t="s">
        <v>300</v>
      </c>
      <c r="J20" s="364">
        <v>2</v>
      </c>
      <c r="K20" s="357">
        <v>0</v>
      </c>
      <c r="L20" s="357">
        <v>2</v>
      </c>
      <c r="M20" s="356">
        <v>0</v>
      </c>
      <c r="N20" s="357">
        <v>1455600</v>
      </c>
      <c r="O20" s="356"/>
      <c r="P20" s="356">
        <v>1455600</v>
      </c>
      <c r="Q20" s="357" t="s">
        <v>814</v>
      </c>
      <c r="R20" s="357">
        <v>0</v>
      </c>
      <c r="S20" s="357">
        <v>0</v>
      </c>
    </row>
    <row r="21" spans="1:19" ht="70.5" customHeight="1" x14ac:dyDescent="0.25">
      <c r="A21" s="305" t="s">
        <v>303</v>
      </c>
      <c r="B21" s="306">
        <v>70868476</v>
      </c>
      <c r="C21" s="303" t="s">
        <v>296</v>
      </c>
      <c r="D21" s="303" t="s">
        <v>1280</v>
      </c>
      <c r="E21" s="306" t="s">
        <v>1101</v>
      </c>
      <c r="F21" s="306">
        <v>2632467</v>
      </c>
      <c r="G21" s="304" t="s">
        <v>1455</v>
      </c>
      <c r="H21" s="307" t="s">
        <v>268</v>
      </c>
      <c r="I21" s="330" t="s">
        <v>269</v>
      </c>
      <c r="J21" s="364">
        <v>18.95</v>
      </c>
      <c r="K21" s="357">
        <v>0</v>
      </c>
      <c r="L21" s="357">
        <v>18.95</v>
      </c>
      <c r="M21" s="356">
        <v>0</v>
      </c>
      <c r="N21" s="357">
        <v>9708340</v>
      </c>
      <c r="O21" s="356"/>
      <c r="P21" s="356">
        <v>9708340</v>
      </c>
      <c r="Q21" s="357" t="s">
        <v>814</v>
      </c>
      <c r="R21" s="357">
        <v>0</v>
      </c>
      <c r="S21" s="357">
        <v>0</v>
      </c>
    </row>
    <row r="22" spans="1:19" ht="70.5" customHeight="1" x14ac:dyDescent="0.25">
      <c r="A22" s="305" t="s">
        <v>303</v>
      </c>
      <c r="B22" s="306">
        <v>70868476</v>
      </c>
      <c r="C22" s="303" t="s">
        <v>296</v>
      </c>
      <c r="D22" s="303" t="s">
        <v>1280</v>
      </c>
      <c r="E22" s="306" t="s">
        <v>1101</v>
      </c>
      <c r="F22" s="306">
        <v>5393471</v>
      </c>
      <c r="G22" s="304" t="s">
        <v>1190</v>
      </c>
      <c r="H22" s="307" t="s">
        <v>304</v>
      </c>
      <c r="I22" s="330" t="s">
        <v>294</v>
      </c>
      <c r="J22" s="364">
        <v>5.35</v>
      </c>
      <c r="K22" s="357">
        <v>0</v>
      </c>
      <c r="L22" s="357">
        <v>5.35</v>
      </c>
      <c r="M22" s="356">
        <v>0</v>
      </c>
      <c r="N22" s="357">
        <v>3222800</v>
      </c>
      <c r="O22" s="356"/>
      <c r="P22" s="356">
        <v>3222800</v>
      </c>
      <c r="Q22" s="357" t="s">
        <v>814</v>
      </c>
      <c r="R22" s="357">
        <v>0</v>
      </c>
      <c r="S22" s="357">
        <v>0</v>
      </c>
    </row>
    <row r="23" spans="1:19" ht="70.5" customHeight="1" x14ac:dyDescent="0.25">
      <c r="A23" s="305" t="s">
        <v>75</v>
      </c>
      <c r="B23" s="309">
        <v>28731191</v>
      </c>
      <c r="C23" s="303" t="s">
        <v>374</v>
      </c>
      <c r="D23" s="303" t="s">
        <v>1281</v>
      </c>
      <c r="E23" s="309"/>
      <c r="F23" s="306">
        <v>4823957</v>
      </c>
      <c r="G23" s="304" t="s">
        <v>75</v>
      </c>
      <c r="H23" s="307" t="s">
        <v>314</v>
      </c>
      <c r="I23" s="330" t="s">
        <v>300</v>
      </c>
      <c r="J23" s="364">
        <v>10.7</v>
      </c>
      <c r="K23" s="357">
        <v>0</v>
      </c>
      <c r="L23" s="357">
        <v>10.7</v>
      </c>
      <c r="M23" s="356">
        <v>0</v>
      </c>
      <c r="N23" s="357">
        <v>8667000</v>
      </c>
      <c r="O23" s="356"/>
      <c r="P23" s="356">
        <v>8667000</v>
      </c>
      <c r="Q23" s="357">
        <v>900000</v>
      </c>
      <c r="R23" s="357">
        <v>0</v>
      </c>
      <c r="S23" s="357">
        <v>900000</v>
      </c>
    </row>
    <row r="24" spans="1:19" ht="70.5" customHeight="1" x14ac:dyDescent="0.25">
      <c r="A24" s="305" t="s">
        <v>75</v>
      </c>
      <c r="B24" s="309">
        <v>28731191</v>
      </c>
      <c r="C24" s="303" t="s">
        <v>374</v>
      </c>
      <c r="D24" s="303" t="s">
        <v>1281</v>
      </c>
      <c r="E24" s="309"/>
      <c r="F24" s="306">
        <v>3959325</v>
      </c>
      <c r="G24" s="304" t="s">
        <v>75</v>
      </c>
      <c r="H24" s="307" t="s">
        <v>313</v>
      </c>
      <c r="I24" s="330" t="s">
        <v>300</v>
      </c>
      <c r="J24" s="364">
        <v>12.1</v>
      </c>
      <c r="K24" s="357">
        <v>0</v>
      </c>
      <c r="L24" s="357">
        <v>12.1</v>
      </c>
      <c r="M24" s="356">
        <v>0</v>
      </c>
      <c r="N24" s="357">
        <v>11663190</v>
      </c>
      <c r="O24" s="356"/>
      <c r="P24" s="356">
        <v>11663190</v>
      </c>
      <c r="Q24" s="357">
        <v>1000000</v>
      </c>
      <c r="R24" s="357">
        <v>0</v>
      </c>
      <c r="S24" s="357">
        <v>1000000</v>
      </c>
    </row>
    <row r="25" spans="1:19" ht="70.5" customHeight="1" x14ac:dyDescent="0.25">
      <c r="A25" s="305" t="s">
        <v>316</v>
      </c>
      <c r="B25" s="306" t="s">
        <v>317</v>
      </c>
      <c r="C25" s="303" t="s">
        <v>318</v>
      </c>
      <c r="D25" s="303" t="s">
        <v>1435</v>
      </c>
      <c r="E25" s="306" t="s">
        <v>1118</v>
      </c>
      <c r="F25" s="306">
        <v>5002625</v>
      </c>
      <c r="G25" s="304" t="s">
        <v>1180</v>
      </c>
      <c r="H25" s="307" t="s">
        <v>313</v>
      </c>
      <c r="I25" s="330" t="s">
        <v>300</v>
      </c>
      <c r="J25" s="364">
        <v>0.36</v>
      </c>
      <c r="K25" s="357">
        <v>0</v>
      </c>
      <c r="L25" s="357">
        <v>0.36</v>
      </c>
      <c r="M25" s="356">
        <v>0</v>
      </c>
      <c r="N25" s="357">
        <v>0</v>
      </c>
      <c r="O25" s="356"/>
      <c r="P25" s="356">
        <v>0</v>
      </c>
      <c r="Q25" s="357">
        <v>33000</v>
      </c>
      <c r="R25" s="357">
        <v>0</v>
      </c>
      <c r="S25" s="357">
        <v>33000</v>
      </c>
    </row>
    <row r="26" spans="1:19" ht="70.5" customHeight="1" x14ac:dyDescent="0.25">
      <c r="A26" s="305" t="s">
        <v>319</v>
      </c>
      <c r="B26" s="306" t="s">
        <v>320</v>
      </c>
      <c r="C26" s="303" t="s">
        <v>318</v>
      </c>
      <c r="D26" s="303" t="s">
        <v>1436</v>
      </c>
      <c r="E26" s="306" t="s">
        <v>1118</v>
      </c>
      <c r="F26" s="306">
        <v>5418910</v>
      </c>
      <c r="G26" s="304" t="s">
        <v>1255</v>
      </c>
      <c r="H26" s="307" t="s">
        <v>314</v>
      </c>
      <c r="I26" s="330" t="s">
        <v>300</v>
      </c>
      <c r="J26" s="364">
        <v>0.5</v>
      </c>
      <c r="K26" s="357">
        <v>0</v>
      </c>
      <c r="L26" s="357">
        <v>0.5</v>
      </c>
      <c r="M26" s="356">
        <v>0</v>
      </c>
      <c r="N26" s="357">
        <v>0</v>
      </c>
      <c r="O26" s="356"/>
      <c r="P26" s="356">
        <v>0</v>
      </c>
      <c r="Q26" s="357">
        <v>46000</v>
      </c>
      <c r="R26" s="357">
        <v>0</v>
      </c>
      <c r="S26" s="357">
        <v>46000</v>
      </c>
    </row>
    <row r="27" spans="1:19" ht="70.5" customHeight="1" x14ac:dyDescent="0.25">
      <c r="A27" s="305" t="s">
        <v>319</v>
      </c>
      <c r="B27" s="306" t="s">
        <v>320</v>
      </c>
      <c r="C27" s="303" t="s">
        <v>318</v>
      </c>
      <c r="D27" s="303" t="s">
        <v>1436</v>
      </c>
      <c r="E27" s="306" t="s">
        <v>1118</v>
      </c>
      <c r="F27" s="306">
        <v>3364695</v>
      </c>
      <c r="G27" s="304" t="s">
        <v>1143</v>
      </c>
      <c r="H27" s="307" t="s">
        <v>268</v>
      </c>
      <c r="I27" s="330" t="s">
        <v>300</v>
      </c>
      <c r="J27" s="364">
        <v>2</v>
      </c>
      <c r="K27" s="357">
        <v>0</v>
      </c>
      <c r="L27" s="357">
        <v>2</v>
      </c>
      <c r="M27" s="356">
        <v>0</v>
      </c>
      <c r="N27" s="357">
        <v>0</v>
      </c>
      <c r="O27" s="356"/>
      <c r="P27" s="356">
        <v>0</v>
      </c>
      <c r="Q27" s="357">
        <v>143000</v>
      </c>
      <c r="R27" s="357">
        <v>0</v>
      </c>
      <c r="S27" s="357">
        <v>143000</v>
      </c>
    </row>
    <row r="28" spans="1:19" ht="70.5" customHeight="1" x14ac:dyDescent="0.25">
      <c r="A28" s="305" t="s">
        <v>33</v>
      </c>
      <c r="B28" s="306">
        <v>26593980</v>
      </c>
      <c r="C28" s="303" t="s">
        <v>318</v>
      </c>
      <c r="D28" s="303" t="s">
        <v>1282</v>
      </c>
      <c r="E28" s="306"/>
      <c r="F28" s="306">
        <v>4148036</v>
      </c>
      <c r="G28" s="304" t="s">
        <v>1162</v>
      </c>
      <c r="H28" s="307" t="s">
        <v>268</v>
      </c>
      <c r="I28" s="330" t="s">
        <v>300</v>
      </c>
      <c r="J28" s="364">
        <v>0.2</v>
      </c>
      <c r="K28" s="357">
        <v>0</v>
      </c>
      <c r="L28" s="357">
        <v>0.2</v>
      </c>
      <c r="M28" s="356">
        <v>0</v>
      </c>
      <c r="N28" s="357">
        <v>164021</v>
      </c>
      <c r="O28" s="356"/>
      <c r="P28" s="356">
        <v>164021</v>
      </c>
      <c r="Q28" s="357" t="s">
        <v>814</v>
      </c>
      <c r="R28" s="357">
        <v>0</v>
      </c>
      <c r="S28" s="357">
        <v>0</v>
      </c>
    </row>
    <row r="29" spans="1:19" ht="70.5" customHeight="1" x14ac:dyDescent="0.25">
      <c r="A29" s="305" t="s">
        <v>33</v>
      </c>
      <c r="B29" s="306">
        <v>26593980</v>
      </c>
      <c r="C29" s="303" t="s">
        <v>318</v>
      </c>
      <c r="D29" s="303" t="s">
        <v>1282</v>
      </c>
      <c r="E29" s="306"/>
      <c r="F29" s="306">
        <v>5451090</v>
      </c>
      <c r="G29" s="304" t="s">
        <v>1191</v>
      </c>
      <c r="H29" s="307" t="s">
        <v>268</v>
      </c>
      <c r="I29" s="330" t="s">
        <v>300</v>
      </c>
      <c r="J29" s="364">
        <v>0.2</v>
      </c>
      <c r="K29" s="357">
        <v>0</v>
      </c>
      <c r="L29" s="357">
        <v>0.2</v>
      </c>
      <c r="M29" s="356">
        <v>0</v>
      </c>
      <c r="N29" s="357">
        <v>159861</v>
      </c>
      <c r="O29" s="356"/>
      <c r="P29" s="356">
        <v>159861</v>
      </c>
      <c r="Q29" s="357" t="s">
        <v>814</v>
      </c>
      <c r="R29" s="357">
        <v>0</v>
      </c>
      <c r="S29" s="357">
        <v>0</v>
      </c>
    </row>
    <row r="30" spans="1:19" ht="70.5" customHeight="1" x14ac:dyDescent="0.25">
      <c r="A30" s="305" t="s">
        <v>33</v>
      </c>
      <c r="B30" s="306">
        <v>26593980</v>
      </c>
      <c r="C30" s="303" t="s">
        <v>318</v>
      </c>
      <c r="D30" s="303" t="s">
        <v>1282</v>
      </c>
      <c r="E30" s="306"/>
      <c r="F30" s="306">
        <v>9725207</v>
      </c>
      <c r="G30" s="304" t="s">
        <v>1236</v>
      </c>
      <c r="H30" s="307" t="s">
        <v>268</v>
      </c>
      <c r="I30" s="330" t="s">
        <v>300</v>
      </c>
      <c r="J30" s="364">
        <v>0.2</v>
      </c>
      <c r="K30" s="357">
        <v>0</v>
      </c>
      <c r="L30" s="357">
        <v>0.2</v>
      </c>
      <c r="M30" s="356">
        <v>0</v>
      </c>
      <c r="N30" s="357">
        <v>158478</v>
      </c>
      <c r="O30" s="356"/>
      <c r="P30" s="356">
        <v>158478</v>
      </c>
      <c r="Q30" s="357" t="s">
        <v>814</v>
      </c>
      <c r="R30" s="357">
        <v>0</v>
      </c>
      <c r="S30" s="357">
        <v>0</v>
      </c>
    </row>
    <row r="31" spans="1:19" ht="70.5" customHeight="1" x14ac:dyDescent="0.25">
      <c r="A31" s="305" t="s">
        <v>33</v>
      </c>
      <c r="B31" s="306">
        <v>26593980</v>
      </c>
      <c r="C31" s="303" t="s">
        <v>318</v>
      </c>
      <c r="D31" s="303" t="s">
        <v>1282</v>
      </c>
      <c r="E31" s="306"/>
      <c r="F31" s="306">
        <v>1840164</v>
      </c>
      <c r="G31" s="304" t="s">
        <v>1113</v>
      </c>
      <c r="H31" s="307" t="s">
        <v>268</v>
      </c>
      <c r="I31" s="330" t="s">
        <v>300</v>
      </c>
      <c r="J31" s="364">
        <v>0.3</v>
      </c>
      <c r="K31" s="357">
        <v>0</v>
      </c>
      <c r="L31" s="357">
        <v>0.3</v>
      </c>
      <c r="M31" s="356">
        <v>0</v>
      </c>
      <c r="N31" s="357">
        <v>244643</v>
      </c>
      <c r="O31" s="356"/>
      <c r="P31" s="356">
        <v>244643</v>
      </c>
      <c r="Q31" s="357" t="s">
        <v>814</v>
      </c>
      <c r="R31" s="357">
        <v>0</v>
      </c>
      <c r="S31" s="357">
        <v>0</v>
      </c>
    </row>
    <row r="32" spans="1:19" ht="70.5" customHeight="1" x14ac:dyDescent="0.25">
      <c r="A32" s="305" t="s">
        <v>33</v>
      </c>
      <c r="B32" s="306">
        <v>26593980</v>
      </c>
      <c r="C32" s="303" t="s">
        <v>318</v>
      </c>
      <c r="D32" s="303" t="s">
        <v>1282</v>
      </c>
      <c r="E32" s="306"/>
      <c r="F32" s="306">
        <v>2453453</v>
      </c>
      <c r="G32" s="304" t="s">
        <v>1122</v>
      </c>
      <c r="H32" s="307" t="s">
        <v>322</v>
      </c>
      <c r="I32" s="330" t="s">
        <v>294</v>
      </c>
      <c r="J32" s="364">
        <v>1.5</v>
      </c>
      <c r="K32" s="357">
        <v>0</v>
      </c>
      <c r="L32" s="357">
        <v>1.5</v>
      </c>
      <c r="M32" s="356">
        <v>0</v>
      </c>
      <c r="N32" s="357">
        <v>1519989</v>
      </c>
      <c r="O32" s="356"/>
      <c r="P32" s="356">
        <v>1519989</v>
      </c>
      <c r="Q32" s="357">
        <v>137000</v>
      </c>
      <c r="R32" s="357">
        <v>0</v>
      </c>
      <c r="S32" s="357">
        <v>137000</v>
      </c>
    </row>
    <row r="33" spans="1:19" ht="70.5" customHeight="1" x14ac:dyDescent="0.25">
      <c r="A33" s="305" t="s">
        <v>33</v>
      </c>
      <c r="B33" s="306">
        <v>26593980</v>
      </c>
      <c r="C33" s="303" t="s">
        <v>318</v>
      </c>
      <c r="D33" s="303" t="s">
        <v>1282</v>
      </c>
      <c r="E33" s="306"/>
      <c r="F33" s="306">
        <v>2164863</v>
      </c>
      <c r="G33" s="304" t="s">
        <v>1117</v>
      </c>
      <c r="H33" s="307" t="s">
        <v>283</v>
      </c>
      <c r="I33" s="330" t="s">
        <v>294</v>
      </c>
      <c r="J33" s="364">
        <v>1.7</v>
      </c>
      <c r="K33" s="357">
        <v>0</v>
      </c>
      <c r="L33" s="357">
        <v>1.7</v>
      </c>
      <c r="M33" s="356">
        <v>0</v>
      </c>
      <c r="N33" s="357">
        <v>1267135</v>
      </c>
      <c r="O33" s="356"/>
      <c r="P33" s="356">
        <v>1267135</v>
      </c>
      <c r="Q33" s="357">
        <v>110000</v>
      </c>
      <c r="R33" s="357">
        <v>0</v>
      </c>
      <c r="S33" s="357">
        <v>110000</v>
      </c>
    </row>
    <row r="34" spans="1:19" ht="70.5" customHeight="1" x14ac:dyDescent="0.25">
      <c r="A34" s="305" t="s">
        <v>33</v>
      </c>
      <c r="B34" s="306">
        <v>26593980</v>
      </c>
      <c r="C34" s="303" t="s">
        <v>318</v>
      </c>
      <c r="D34" s="303" t="s">
        <v>1282</v>
      </c>
      <c r="E34" s="306"/>
      <c r="F34" s="306">
        <v>5362299</v>
      </c>
      <c r="G34" s="304" t="s">
        <v>1188</v>
      </c>
      <c r="H34" s="307" t="s">
        <v>283</v>
      </c>
      <c r="I34" s="330" t="s">
        <v>294</v>
      </c>
      <c r="J34" s="364">
        <v>1.7</v>
      </c>
      <c r="K34" s="357">
        <v>0</v>
      </c>
      <c r="L34" s="357">
        <v>1.7</v>
      </c>
      <c r="M34" s="356">
        <v>0</v>
      </c>
      <c r="N34" s="357">
        <v>1247850</v>
      </c>
      <c r="O34" s="356"/>
      <c r="P34" s="356">
        <v>1247850</v>
      </c>
      <c r="Q34" s="357">
        <v>110000</v>
      </c>
      <c r="R34" s="357">
        <v>0</v>
      </c>
      <c r="S34" s="357">
        <v>110000</v>
      </c>
    </row>
    <row r="35" spans="1:19" ht="70.5" customHeight="1" x14ac:dyDescent="0.25">
      <c r="A35" s="305" t="s">
        <v>33</v>
      </c>
      <c r="B35" s="306">
        <v>26593980</v>
      </c>
      <c r="C35" s="303" t="s">
        <v>318</v>
      </c>
      <c r="D35" s="303" t="s">
        <v>1282</v>
      </c>
      <c r="E35" s="306"/>
      <c r="F35" s="306">
        <v>6806376</v>
      </c>
      <c r="G35" s="304" t="s">
        <v>1206</v>
      </c>
      <c r="H35" s="307" t="s">
        <v>283</v>
      </c>
      <c r="I35" s="330" t="s">
        <v>294</v>
      </c>
      <c r="J35" s="364">
        <v>1.7</v>
      </c>
      <c r="K35" s="357">
        <v>0</v>
      </c>
      <c r="L35" s="357">
        <v>1.7</v>
      </c>
      <c r="M35" s="356">
        <v>0</v>
      </c>
      <c r="N35" s="357">
        <v>1353364</v>
      </c>
      <c r="O35" s="356"/>
      <c r="P35" s="356">
        <v>1353364</v>
      </c>
      <c r="Q35" s="357">
        <v>110000</v>
      </c>
      <c r="R35" s="357">
        <v>0</v>
      </c>
      <c r="S35" s="357">
        <v>110000</v>
      </c>
    </row>
    <row r="36" spans="1:19" ht="70.5" customHeight="1" x14ac:dyDescent="0.25">
      <c r="A36" s="305" t="s">
        <v>33</v>
      </c>
      <c r="B36" s="306">
        <v>26593980</v>
      </c>
      <c r="C36" s="303" t="s">
        <v>318</v>
      </c>
      <c r="D36" s="303" t="s">
        <v>1282</v>
      </c>
      <c r="E36" s="306"/>
      <c r="F36" s="306">
        <v>1656576</v>
      </c>
      <c r="G36" s="304" t="s">
        <v>1108</v>
      </c>
      <c r="H36" s="307" t="s">
        <v>283</v>
      </c>
      <c r="I36" s="330" t="s">
        <v>294</v>
      </c>
      <c r="J36" s="364">
        <v>2.8</v>
      </c>
      <c r="K36" s="357">
        <v>0</v>
      </c>
      <c r="L36" s="357">
        <v>2.8</v>
      </c>
      <c r="M36" s="356">
        <v>0</v>
      </c>
      <c r="N36" s="357">
        <v>2127383</v>
      </c>
      <c r="O36" s="356"/>
      <c r="P36" s="356">
        <v>2127383</v>
      </c>
      <c r="Q36" s="357">
        <v>181000</v>
      </c>
      <c r="R36" s="357">
        <v>0</v>
      </c>
      <c r="S36" s="357">
        <v>181000</v>
      </c>
    </row>
    <row r="37" spans="1:19" ht="70.5" customHeight="1" x14ac:dyDescent="0.25">
      <c r="A37" s="305" t="s">
        <v>33</v>
      </c>
      <c r="B37" s="306">
        <v>26593980</v>
      </c>
      <c r="C37" s="303" t="s">
        <v>318</v>
      </c>
      <c r="D37" s="303" t="s">
        <v>1282</v>
      </c>
      <c r="E37" s="306"/>
      <c r="F37" s="306">
        <v>7135154</v>
      </c>
      <c r="G37" s="304" t="s">
        <v>1210</v>
      </c>
      <c r="H37" s="307" t="s">
        <v>321</v>
      </c>
      <c r="I37" s="330" t="s">
        <v>294</v>
      </c>
      <c r="J37" s="364">
        <v>7.3</v>
      </c>
      <c r="K37" s="357">
        <v>0</v>
      </c>
      <c r="L37" s="357">
        <v>7.3</v>
      </c>
      <c r="M37" s="356">
        <v>0</v>
      </c>
      <c r="N37" s="357">
        <v>5133187</v>
      </c>
      <c r="O37" s="356"/>
      <c r="P37" s="356">
        <v>5133187</v>
      </c>
      <c r="Q37" s="357">
        <v>471000</v>
      </c>
      <c r="R37" s="357">
        <v>0</v>
      </c>
      <c r="S37" s="357">
        <v>471000</v>
      </c>
    </row>
    <row r="38" spans="1:19" ht="70.5" customHeight="1" x14ac:dyDescent="0.25">
      <c r="A38" s="305" t="s">
        <v>33</v>
      </c>
      <c r="B38" s="306">
        <v>26593980</v>
      </c>
      <c r="C38" s="303" t="s">
        <v>318</v>
      </c>
      <c r="D38" s="303" t="s">
        <v>1282</v>
      </c>
      <c r="E38" s="306"/>
      <c r="F38" s="306">
        <v>9349276</v>
      </c>
      <c r="G38" s="304" t="s">
        <v>1232</v>
      </c>
      <c r="H38" s="307" t="s">
        <v>321</v>
      </c>
      <c r="I38" s="330" t="s">
        <v>294</v>
      </c>
      <c r="J38" s="364">
        <v>10.3</v>
      </c>
      <c r="K38" s="357">
        <v>0</v>
      </c>
      <c r="L38" s="357">
        <v>10.3</v>
      </c>
      <c r="M38" s="356">
        <v>0</v>
      </c>
      <c r="N38" s="357">
        <v>7862208</v>
      </c>
      <c r="O38" s="356"/>
      <c r="P38" s="356">
        <v>7862208</v>
      </c>
      <c r="Q38" s="357">
        <v>665000</v>
      </c>
      <c r="R38" s="357">
        <v>0</v>
      </c>
      <c r="S38" s="357">
        <v>665000</v>
      </c>
    </row>
    <row r="39" spans="1:19" ht="70.5" customHeight="1" x14ac:dyDescent="0.25">
      <c r="A39" s="305" t="s">
        <v>33</v>
      </c>
      <c r="B39" s="306">
        <v>26593980</v>
      </c>
      <c r="C39" s="303" t="s">
        <v>318</v>
      </c>
      <c r="D39" s="303" t="s">
        <v>1282</v>
      </c>
      <c r="E39" s="306"/>
      <c r="F39" s="306">
        <v>3852372</v>
      </c>
      <c r="G39" s="304" t="s">
        <v>1156</v>
      </c>
      <c r="H39" s="307" t="s">
        <v>321</v>
      </c>
      <c r="I39" s="330" t="s">
        <v>294</v>
      </c>
      <c r="J39" s="364">
        <v>11.05</v>
      </c>
      <c r="K39" s="357">
        <v>0</v>
      </c>
      <c r="L39" s="357">
        <v>11.05</v>
      </c>
      <c r="M39" s="356">
        <v>0</v>
      </c>
      <c r="N39" s="357">
        <v>8448756</v>
      </c>
      <c r="O39" s="356"/>
      <c r="P39" s="356">
        <v>8448756</v>
      </c>
      <c r="Q39" s="357">
        <v>714000</v>
      </c>
      <c r="R39" s="357">
        <v>0</v>
      </c>
      <c r="S39" s="357">
        <v>714000</v>
      </c>
    </row>
    <row r="40" spans="1:19" ht="70.5" customHeight="1" x14ac:dyDescent="0.25">
      <c r="A40" s="305" t="s">
        <v>33</v>
      </c>
      <c r="B40" s="306">
        <v>26593980</v>
      </c>
      <c r="C40" s="303" t="s">
        <v>318</v>
      </c>
      <c r="D40" s="303" t="s">
        <v>1282</v>
      </c>
      <c r="E40" s="306"/>
      <c r="F40" s="306">
        <v>7559709</v>
      </c>
      <c r="G40" s="304" t="s">
        <v>1213</v>
      </c>
      <c r="H40" s="307" t="s">
        <v>321</v>
      </c>
      <c r="I40" s="330" t="s">
        <v>294</v>
      </c>
      <c r="J40" s="364">
        <v>17</v>
      </c>
      <c r="K40" s="357">
        <v>0</v>
      </c>
      <c r="L40" s="357">
        <v>17</v>
      </c>
      <c r="M40" s="356">
        <v>0</v>
      </c>
      <c r="N40" s="357">
        <v>12043059</v>
      </c>
      <c r="O40" s="356"/>
      <c r="P40" s="356">
        <v>12043059</v>
      </c>
      <c r="Q40" s="357">
        <v>1098000</v>
      </c>
      <c r="R40" s="357">
        <v>0</v>
      </c>
      <c r="S40" s="357">
        <v>1098000</v>
      </c>
    </row>
    <row r="41" spans="1:19" ht="70.5" customHeight="1" x14ac:dyDescent="0.25">
      <c r="A41" s="305" t="s">
        <v>323</v>
      </c>
      <c r="B41" s="306">
        <v>43256503</v>
      </c>
      <c r="C41" s="303" t="s">
        <v>324</v>
      </c>
      <c r="D41" s="303" t="s">
        <v>1283</v>
      </c>
      <c r="E41" s="306"/>
      <c r="F41" s="306">
        <v>1947710</v>
      </c>
      <c r="G41" s="304" t="s">
        <v>1138</v>
      </c>
      <c r="H41" s="307" t="s">
        <v>283</v>
      </c>
      <c r="I41" s="330" t="s">
        <v>278</v>
      </c>
      <c r="J41" s="364">
        <v>5.07</v>
      </c>
      <c r="K41" s="357">
        <v>0</v>
      </c>
      <c r="L41" s="357">
        <v>5.07</v>
      </c>
      <c r="M41" s="356">
        <v>4</v>
      </c>
      <c r="N41" s="357">
        <v>1190905</v>
      </c>
      <c r="O41" s="356"/>
      <c r="P41" s="356">
        <v>1190905</v>
      </c>
      <c r="Q41" s="357" t="s">
        <v>814</v>
      </c>
      <c r="R41" s="357">
        <v>0</v>
      </c>
      <c r="S41" s="357">
        <v>0</v>
      </c>
    </row>
    <row r="42" spans="1:19" ht="70.5" customHeight="1" x14ac:dyDescent="0.25">
      <c r="A42" s="305" t="s">
        <v>323</v>
      </c>
      <c r="B42" s="306">
        <v>43256503</v>
      </c>
      <c r="C42" s="303" t="s">
        <v>324</v>
      </c>
      <c r="D42" s="303" t="s">
        <v>1283</v>
      </c>
      <c r="E42" s="306"/>
      <c r="F42" s="306">
        <v>8396068</v>
      </c>
      <c r="G42" s="304" t="s">
        <v>1092</v>
      </c>
      <c r="H42" s="307" t="s">
        <v>325</v>
      </c>
      <c r="I42" s="330" t="s">
        <v>300</v>
      </c>
      <c r="J42" s="364">
        <v>19.54</v>
      </c>
      <c r="K42" s="357">
        <v>0</v>
      </c>
      <c r="L42" s="357">
        <v>19.54</v>
      </c>
      <c r="M42" s="356">
        <v>0</v>
      </c>
      <c r="N42" s="357">
        <v>8000000</v>
      </c>
      <c r="O42" s="356"/>
      <c r="P42" s="356">
        <v>8000000</v>
      </c>
      <c r="Q42" s="357" t="s">
        <v>814</v>
      </c>
      <c r="R42" s="357">
        <v>0</v>
      </c>
      <c r="S42" s="357">
        <v>0</v>
      </c>
    </row>
    <row r="43" spans="1:19" ht="70.5" customHeight="1" x14ac:dyDescent="0.25">
      <c r="A43" s="305" t="s">
        <v>326</v>
      </c>
      <c r="B43" s="306">
        <v>65100654</v>
      </c>
      <c r="C43" s="303" t="s">
        <v>324</v>
      </c>
      <c r="D43" s="303" t="s">
        <v>1284</v>
      </c>
      <c r="E43" s="306"/>
      <c r="F43" s="306">
        <v>2480451</v>
      </c>
      <c r="G43" s="304" t="s">
        <v>1456</v>
      </c>
      <c r="H43" s="307" t="s">
        <v>285</v>
      </c>
      <c r="I43" s="330" t="s">
        <v>278</v>
      </c>
      <c r="J43" s="364">
        <v>5.6</v>
      </c>
      <c r="K43" s="357">
        <v>0</v>
      </c>
      <c r="L43" s="357">
        <v>5.6</v>
      </c>
      <c r="M43" s="356">
        <v>12</v>
      </c>
      <c r="N43" s="357">
        <v>1037200</v>
      </c>
      <c r="O43" s="356"/>
      <c r="P43" s="356">
        <v>1037200</v>
      </c>
      <c r="Q43" s="357" t="s">
        <v>814</v>
      </c>
      <c r="R43" s="357">
        <v>0</v>
      </c>
      <c r="S43" s="357">
        <v>0</v>
      </c>
    </row>
    <row r="44" spans="1:19" ht="70.5" customHeight="1" x14ac:dyDescent="0.25">
      <c r="A44" s="305" t="s">
        <v>326</v>
      </c>
      <c r="B44" s="309">
        <v>65100654</v>
      </c>
      <c r="C44" s="303" t="s">
        <v>324</v>
      </c>
      <c r="D44" s="303" t="s">
        <v>1284</v>
      </c>
      <c r="E44" s="309"/>
      <c r="F44" s="306">
        <v>7665554</v>
      </c>
      <c r="G44" s="304" t="s">
        <v>1457</v>
      </c>
      <c r="H44" s="307" t="s">
        <v>283</v>
      </c>
      <c r="I44" s="330" t="s">
        <v>278</v>
      </c>
      <c r="J44" s="364">
        <v>3.84</v>
      </c>
      <c r="K44" s="357">
        <v>0</v>
      </c>
      <c r="L44" s="357">
        <v>3.84</v>
      </c>
      <c r="M44" s="356">
        <v>10</v>
      </c>
      <c r="N44" s="357">
        <v>1260926</v>
      </c>
      <c r="O44" s="356"/>
      <c r="P44" s="356">
        <v>1260926</v>
      </c>
      <c r="Q44" s="357" t="s">
        <v>814</v>
      </c>
      <c r="R44" s="357">
        <v>0</v>
      </c>
      <c r="S44" s="357">
        <v>0</v>
      </c>
    </row>
    <row r="45" spans="1:19" ht="70.5" customHeight="1" x14ac:dyDescent="0.25">
      <c r="A45" s="305" t="s">
        <v>326</v>
      </c>
      <c r="B45" s="309">
        <v>65100654</v>
      </c>
      <c r="C45" s="303" t="s">
        <v>324</v>
      </c>
      <c r="D45" s="303" t="s">
        <v>1284</v>
      </c>
      <c r="E45" s="309"/>
      <c r="F45" s="306">
        <v>6722018</v>
      </c>
      <c r="G45" s="304" t="s">
        <v>847</v>
      </c>
      <c r="H45" s="307" t="s">
        <v>325</v>
      </c>
      <c r="I45" s="330" t="s">
        <v>300</v>
      </c>
      <c r="J45" s="364">
        <v>57.27</v>
      </c>
      <c r="K45" s="357">
        <v>0</v>
      </c>
      <c r="L45" s="357">
        <v>57.27</v>
      </c>
      <c r="M45" s="356">
        <v>0</v>
      </c>
      <c r="N45" s="357">
        <v>18427500</v>
      </c>
      <c r="O45" s="356"/>
      <c r="P45" s="356">
        <v>18427500</v>
      </c>
      <c r="Q45" s="357" t="s">
        <v>814</v>
      </c>
      <c r="R45" s="357">
        <v>0</v>
      </c>
      <c r="S45" s="357">
        <v>0</v>
      </c>
    </row>
    <row r="46" spans="1:19" ht="70.5" customHeight="1" x14ac:dyDescent="0.25">
      <c r="A46" s="305" t="s">
        <v>328</v>
      </c>
      <c r="B46" s="306" t="s">
        <v>329</v>
      </c>
      <c r="C46" s="303" t="s">
        <v>374</v>
      </c>
      <c r="D46" s="303" t="s">
        <v>1285</v>
      </c>
      <c r="E46" s="306"/>
      <c r="F46" s="306">
        <v>4358523</v>
      </c>
      <c r="G46" s="304" t="s">
        <v>1530</v>
      </c>
      <c r="H46" s="307" t="s">
        <v>322</v>
      </c>
      <c r="I46" s="330" t="s">
        <v>294</v>
      </c>
      <c r="J46" s="364">
        <v>0.94</v>
      </c>
      <c r="K46" s="357">
        <v>0</v>
      </c>
      <c r="L46" s="357">
        <v>0.94</v>
      </c>
      <c r="M46" s="356">
        <v>0</v>
      </c>
      <c r="N46" s="357">
        <v>622708</v>
      </c>
      <c r="O46" s="356"/>
      <c r="P46" s="356">
        <v>622708</v>
      </c>
      <c r="Q46" s="357">
        <v>76000</v>
      </c>
      <c r="R46" s="357">
        <v>0</v>
      </c>
      <c r="S46" s="357">
        <v>76000</v>
      </c>
    </row>
    <row r="47" spans="1:19" ht="70.5" customHeight="1" x14ac:dyDescent="0.25">
      <c r="A47" s="305" t="s">
        <v>328</v>
      </c>
      <c r="B47" s="306" t="s">
        <v>329</v>
      </c>
      <c r="C47" s="303" t="s">
        <v>374</v>
      </c>
      <c r="D47" s="303" t="s">
        <v>1285</v>
      </c>
      <c r="E47" s="306"/>
      <c r="F47" s="306">
        <v>4756138</v>
      </c>
      <c r="G47" s="304" t="s">
        <v>1176</v>
      </c>
      <c r="H47" s="307" t="s">
        <v>308</v>
      </c>
      <c r="I47" s="330" t="s">
        <v>300</v>
      </c>
      <c r="J47" s="364">
        <v>1.57</v>
      </c>
      <c r="K47" s="357">
        <v>0</v>
      </c>
      <c r="L47" s="357">
        <v>1.57</v>
      </c>
      <c r="M47" s="356">
        <v>0</v>
      </c>
      <c r="N47" s="357">
        <v>1017360</v>
      </c>
      <c r="O47" s="356"/>
      <c r="P47" s="356">
        <v>1017360</v>
      </c>
      <c r="Q47" s="357">
        <v>136000</v>
      </c>
      <c r="R47" s="357">
        <v>0</v>
      </c>
      <c r="S47" s="357">
        <v>136000</v>
      </c>
    </row>
    <row r="48" spans="1:19" ht="70.5" customHeight="1" x14ac:dyDescent="0.25">
      <c r="A48" s="305" t="s">
        <v>192</v>
      </c>
      <c r="B48" s="306">
        <v>25755277</v>
      </c>
      <c r="C48" s="303" t="s">
        <v>318</v>
      </c>
      <c r="D48" s="303" t="s">
        <v>1286</v>
      </c>
      <c r="E48" s="306"/>
      <c r="F48" s="306">
        <v>5235056</v>
      </c>
      <c r="G48" s="304" t="s">
        <v>1458</v>
      </c>
      <c r="H48" s="307" t="s">
        <v>330</v>
      </c>
      <c r="I48" s="330" t="s">
        <v>269</v>
      </c>
      <c r="J48" s="364">
        <v>3.5</v>
      </c>
      <c r="K48" s="357">
        <v>0</v>
      </c>
      <c r="L48" s="357">
        <v>3.5</v>
      </c>
      <c r="M48" s="356">
        <v>0</v>
      </c>
      <c r="N48" s="357">
        <v>2410613</v>
      </c>
      <c r="O48" s="356"/>
      <c r="P48" s="356">
        <v>2410613</v>
      </c>
      <c r="Q48" s="357">
        <v>305000</v>
      </c>
      <c r="R48" s="357">
        <v>0</v>
      </c>
      <c r="S48" s="357">
        <v>305000</v>
      </c>
    </row>
    <row r="49" spans="1:19" ht="70.5" customHeight="1" x14ac:dyDescent="0.25">
      <c r="A49" s="305" t="s">
        <v>192</v>
      </c>
      <c r="B49" s="306">
        <v>25755277</v>
      </c>
      <c r="C49" s="303" t="s">
        <v>318</v>
      </c>
      <c r="D49" s="303" t="s">
        <v>1286</v>
      </c>
      <c r="E49" s="306"/>
      <c r="F49" s="306">
        <v>6719009</v>
      </c>
      <c r="G49" s="304" t="s">
        <v>1460</v>
      </c>
      <c r="H49" s="307" t="s">
        <v>268</v>
      </c>
      <c r="I49" s="330" t="s">
        <v>269</v>
      </c>
      <c r="J49" s="364">
        <v>6</v>
      </c>
      <c r="K49" s="365" t="s">
        <v>1422</v>
      </c>
      <c r="L49" s="357">
        <v>8</v>
      </c>
      <c r="M49" s="356">
        <v>0</v>
      </c>
      <c r="N49" s="357">
        <v>3898800</v>
      </c>
      <c r="O49" s="356"/>
      <c r="P49" s="356">
        <v>3898800</v>
      </c>
      <c r="Q49" s="357">
        <v>501000</v>
      </c>
      <c r="R49" s="357">
        <v>0</v>
      </c>
      <c r="S49" s="357">
        <v>501000</v>
      </c>
    </row>
    <row r="50" spans="1:19" ht="70.5" customHeight="1" x14ac:dyDescent="0.25">
      <c r="A50" s="305" t="s">
        <v>192</v>
      </c>
      <c r="B50" s="306">
        <v>25755277</v>
      </c>
      <c r="C50" s="303" t="s">
        <v>318</v>
      </c>
      <c r="D50" s="303" t="s">
        <v>1286</v>
      </c>
      <c r="E50" s="306"/>
      <c r="F50" s="306">
        <v>8226411</v>
      </c>
      <c r="G50" s="304" t="s">
        <v>1539</v>
      </c>
      <c r="H50" s="307" t="s">
        <v>314</v>
      </c>
      <c r="I50" s="330" t="s">
        <v>294</v>
      </c>
      <c r="J50" s="364">
        <v>0</v>
      </c>
      <c r="K50" s="357">
        <v>2</v>
      </c>
      <c r="L50" s="357">
        <v>2</v>
      </c>
      <c r="M50" s="356">
        <v>0</v>
      </c>
      <c r="N50" s="357">
        <v>0</v>
      </c>
      <c r="O50" s="356"/>
      <c r="P50" s="356">
        <v>0</v>
      </c>
      <c r="Q50" s="357" t="s">
        <v>814</v>
      </c>
      <c r="R50" s="357">
        <v>0</v>
      </c>
      <c r="S50" s="357">
        <v>0</v>
      </c>
    </row>
    <row r="51" spans="1:19" ht="70.5" customHeight="1" x14ac:dyDescent="0.25">
      <c r="A51" s="305" t="s">
        <v>192</v>
      </c>
      <c r="B51" s="306">
        <v>25755277</v>
      </c>
      <c r="C51" s="303" t="s">
        <v>318</v>
      </c>
      <c r="D51" s="303" t="s">
        <v>1286</v>
      </c>
      <c r="E51" s="306"/>
      <c r="F51" s="306">
        <v>5713240</v>
      </c>
      <c r="G51" s="304" t="s">
        <v>1459</v>
      </c>
      <c r="H51" s="307" t="s">
        <v>331</v>
      </c>
      <c r="I51" s="330" t="s">
        <v>294</v>
      </c>
      <c r="J51" s="364">
        <v>6</v>
      </c>
      <c r="K51" s="357">
        <v>1</v>
      </c>
      <c r="L51" s="357">
        <v>7</v>
      </c>
      <c r="M51" s="356">
        <v>0</v>
      </c>
      <c r="N51" s="357">
        <v>4212000</v>
      </c>
      <c r="O51" s="356"/>
      <c r="P51" s="356">
        <v>4212000</v>
      </c>
      <c r="Q51" s="357">
        <v>520000</v>
      </c>
      <c r="R51" s="357">
        <v>0</v>
      </c>
      <c r="S51" s="357">
        <v>520000</v>
      </c>
    </row>
    <row r="52" spans="1:19" ht="70.5" customHeight="1" x14ac:dyDescent="0.25">
      <c r="A52" s="305" t="s">
        <v>68</v>
      </c>
      <c r="B52" s="306">
        <v>68455232</v>
      </c>
      <c r="C52" s="303" t="s">
        <v>288</v>
      </c>
      <c r="D52" s="303" t="s">
        <v>1287</v>
      </c>
      <c r="E52" s="306"/>
      <c r="F52" s="306">
        <v>9813481</v>
      </c>
      <c r="G52" s="304" t="s">
        <v>1237</v>
      </c>
      <c r="H52" s="307" t="s">
        <v>268</v>
      </c>
      <c r="I52" s="330" t="s">
        <v>269</v>
      </c>
      <c r="J52" s="364">
        <v>5.23</v>
      </c>
      <c r="K52" s="357">
        <v>0</v>
      </c>
      <c r="L52" s="357">
        <v>5.23</v>
      </c>
      <c r="M52" s="356">
        <v>0</v>
      </c>
      <c r="N52" s="357">
        <v>3566107</v>
      </c>
      <c r="O52" s="356"/>
      <c r="P52" s="356">
        <v>3566107</v>
      </c>
      <c r="Q52" s="357">
        <v>375000</v>
      </c>
      <c r="R52" s="357">
        <v>0</v>
      </c>
      <c r="S52" s="357">
        <v>375000</v>
      </c>
    </row>
    <row r="53" spans="1:19" ht="70.5" customHeight="1" x14ac:dyDescent="0.25">
      <c r="A53" s="305" t="s">
        <v>1403</v>
      </c>
      <c r="B53" s="306">
        <v>48282961</v>
      </c>
      <c r="C53" s="303" t="s">
        <v>296</v>
      </c>
      <c r="D53" s="303" t="s">
        <v>1288</v>
      </c>
      <c r="E53" s="306" t="s">
        <v>1101</v>
      </c>
      <c r="F53" s="306">
        <v>2038560</v>
      </c>
      <c r="G53" s="304" t="s">
        <v>1114</v>
      </c>
      <c r="H53" s="307" t="s">
        <v>298</v>
      </c>
      <c r="I53" s="330" t="s">
        <v>278</v>
      </c>
      <c r="J53" s="364">
        <v>6.3</v>
      </c>
      <c r="K53" s="357">
        <v>0</v>
      </c>
      <c r="L53" s="357">
        <v>6.3</v>
      </c>
      <c r="M53" s="356">
        <v>5</v>
      </c>
      <c r="N53" s="357">
        <v>3120000</v>
      </c>
      <c r="O53" s="356"/>
      <c r="P53" s="356">
        <v>3120000</v>
      </c>
      <c r="Q53" s="357" t="s">
        <v>814</v>
      </c>
      <c r="R53" s="357">
        <v>0</v>
      </c>
      <c r="S53" s="357">
        <v>0</v>
      </c>
    </row>
    <row r="54" spans="1:19" ht="70.5" customHeight="1" x14ac:dyDescent="0.25">
      <c r="A54" s="305" t="s">
        <v>1403</v>
      </c>
      <c r="B54" s="306">
        <v>48282961</v>
      </c>
      <c r="C54" s="303" t="s">
        <v>296</v>
      </c>
      <c r="D54" s="303" t="s">
        <v>1288</v>
      </c>
      <c r="E54" s="306" t="s">
        <v>1101</v>
      </c>
      <c r="F54" s="306">
        <v>9439906</v>
      </c>
      <c r="G54" s="304" t="s">
        <v>1461</v>
      </c>
      <c r="H54" s="307" t="s">
        <v>298</v>
      </c>
      <c r="I54" s="330" t="s">
        <v>278</v>
      </c>
      <c r="J54" s="364">
        <v>62</v>
      </c>
      <c r="K54" s="357">
        <v>0</v>
      </c>
      <c r="L54" s="357">
        <v>62</v>
      </c>
      <c r="M54" s="356">
        <v>43</v>
      </c>
      <c r="N54" s="357">
        <v>26832000</v>
      </c>
      <c r="O54" s="356"/>
      <c r="P54" s="356">
        <v>26832000</v>
      </c>
      <c r="Q54" s="357" t="s">
        <v>814</v>
      </c>
      <c r="R54" s="357">
        <v>0</v>
      </c>
      <c r="S54" s="357">
        <v>0</v>
      </c>
    </row>
    <row r="55" spans="1:19" ht="70.5" customHeight="1" x14ac:dyDescent="0.25">
      <c r="A55" s="305" t="s">
        <v>1403</v>
      </c>
      <c r="B55" s="309">
        <v>48282961</v>
      </c>
      <c r="C55" s="303" t="s">
        <v>296</v>
      </c>
      <c r="D55" s="303" t="s">
        <v>1288</v>
      </c>
      <c r="E55" s="309" t="s">
        <v>1101</v>
      </c>
      <c r="F55" s="306">
        <v>2293541</v>
      </c>
      <c r="G55" s="304" t="s">
        <v>1120</v>
      </c>
      <c r="H55" s="307" t="s">
        <v>289</v>
      </c>
      <c r="I55" s="330" t="s">
        <v>269</v>
      </c>
      <c r="J55" s="364">
        <v>12.7</v>
      </c>
      <c r="K55" s="357">
        <v>0</v>
      </c>
      <c r="L55" s="357">
        <v>12.7</v>
      </c>
      <c r="M55" s="356">
        <v>0</v>
      </c>
      <c r="N55" s="357">
        <v>7200180</v>
      </c>
      <c r="O55" s="356"/>
      <c r="P55" s="356">
        <v>7200180</v>
      </c>
      <c r="Q55" s="357" t="s">
        <v>814</v>
      </c>
      <c r="R55" s="357">
        <v>0</v>
      </c>
      <c r="S55" s="357">
        <v>0</v>
      </c>
    </row>
    <row r="56" spans="1:19" ht="70.5" customHeight="1" x14ac:dyDescent="0.25">
      <c r="A56" s="305" t="s">
        <v>333</v>
      </c>
      <c r="B56" s="306">
        <v>68247877</v>
      </c>
      <c r="C56" s="303" t="s">
        <v>324</v>
      </c>
      <c r="D56" s="303" t="s">
        <v>1289</v>
      </c>
      <c r="E56" s="306"/>
      <c r="F56" s="306">
        <v>6907978</v>
      </c>
      <c r="G56" s="304" t="s">
        <v>1109</v>
      </c>
      <c r="H56" s="307" t="s">
        <v>283</v>
      </c>
      <c r="I56" s="330" t="s">
        <v>278</v>
      </c>
      <c r="J56" s="364">
        <v>5.35</v>
      </c>
      <c r="K56" s="357">
        <v>0</v>
      </c>
      <c r="L56" s="357">
        <v>5.35</v>
      </c>
      <c r="M56" s="356">
        <v>3</v>
      </c>
      <c r="N56" s="357">
        <v>1512000</v>
      </c>
      <c r="O56" s="356"/>
      <c r="P56" s="356">
        <v>1512000</v>
      </c>
      <c r="Q56" s="357" t="s">
        <v>814</v>
      </c>
      <c r="R56" s="357">
        <v>0</v>
      </c>
      <c r="S56" s="357">
        <v>0</v>
      </c>
    </row>
    <row r="57" spans="1:19" ht="70.5" customHeight="1" x14ac:dyDescent="0.25">
      <c r="A57" s="305" t="s">
        <v>333</v>
      </c>
      <c r="B57" s="306">
        <v>68247877</v>
      </c>
      <c r="C57" s="303" t="s">
        <v>324</v>
      </c>
      <c r="D57" s="303" t="s">
        <v>1289</v>
      </c>
      <c r="E57" s="306"/>
      <c r="F57" s="306">
        <v>3790182</v>
      </c>
      <c r="G57" s="304" t="s">
        <v>1462</v>
      </c>
      <c r="H57" s="307" t="s">
        <v>289</v>
      </c>
      <c r="I57" s="330" t="s">
        <v>269</v>
      </c>
      <c r="J57" s="364">
        <v>3.75</v>
      </c>
      <c r="K57" s="357">
        <v>0</v>
      </c>
      <c r="L57" s="357">
        <v>3.75</v>
      </c>
      <c r="M57" s="356">
        <v>0</v>
      </c>
      <c r="N57" s="357">
        <v>2632500</v>
      </c>
      <c r="O57" s="356"/>
      <c r="P57" s="356">
        <v>2632500</v>
      </c>
      <c r="Q57" s="357" t="s">
        <v>814</v>
      </c>
      <c r="R57" s="357">
        <v>0</v>
      </c>
      <c r="S57" s="357">
        <v>0</v>
      </c>
    </row>
    <row r="58" spans="1:19" ht="70.5" customHeight="1" x14ac:dyDescent="0.25">
      <c r="A58" s="305" t="s">
        <v>333</v>
      </c>
      <c r="B58" s="306">
        <v>68247877</v>
      </c>
      <c r="C58" s="303" t="s">
        <v>324</v>
      </c>
      <c r="D58" s="303" t="s">
        <v>1289</v>
      </c>
      <c r="E58" s="306"/>
      <c r="F58" s="306">
        <v>5312119</v>
      </c>
      <c r="G58" s="304" t="s">
        <v>1462</v>
      </c>
      <c r="H58" s="307" t="s">
        <v>334</v>
      </c>
      <c r="I58" s="330" t="s">
        <v>278</v>
      </c>
      <c r="J58" s="364">
        <v>5.05</v>
      </c>
      <c r="K58" s="357">
        <v>0</v>
      </c>
      <c r="L58" s="357">
        <v>5.05</v>
      </c>
      <c r="M58" s="356">
        <v>5</v>
      </c>
      <c r="N58" s="357">
        <v>2309175</v>
      </c>
      <c r="O58" s="356"/>
      <c r="P58" s="356">
        <v>2309175</v>
      </c>
      <c r="Q58" s="357" t="s">
        <v>814</v>
      </c>
      <c r="R58" s="357">
        <v>0</v>
      </c>
      <c r="S58" s="357">
        <v>0</v>
      </c>
    </row>
    <row r="59" spans="1:19" ht="70.5" customHeight="1" x14ac:dyDescent="0.25">
      <c r="A59" s="305" t="s">
        <v>868</v>
      </c>
      <c r="B59" s="306">
        <v>71294392</v>
      </c>
      <c r="C59" s="303" t="s">
        <v>296</v>
      </c>
      <c r="D59" s="303" t="s">
        <v>1290</v>
      </c>
      <c r="E59" s="306" t="s">
        <v>1101</v>
      </c>
      <c r="F59" s="306">
        <v>7387665</v>
      </c>
      <c r="G59" s="304" t="s">
        <v>868</v>
      </c>
      <c r="H59" s="307" t="s">
        <v>343</v>
      </c>
      <c r="I59" s="330" t="s">
        <v>1417</v>
      </c>
      <c r="J59" s="364">
        <v>2.5</v>
      </c>
      <c r="K59" s="357">
        <v>0</v>
      </c>
      <c r="L59" s="357">
        <v>2.5</v>
      </c>
      <c r="M59" s="356">
        <v>7</v>
      </c>
      <c r="N59" s="357">
        <v>1683000</v>
      </c>
      <c r="O59" s="356"/>
      <c r="P59" s="356">
        <v>1683000</v>
      </c>
      <c r="Q59" s="357" t="s">
        <v>814</v>
      </c>
      <c r="R59" s="357">
        <v>0</v>
      </c>
      <c r="S59" s="357">
        <v>0</v>
      </c>
    </row>
    <row r="60" spans="1:19" ht="70.5" customHeight="1" x14ac:dyDescent="0.25">
      <c r="A60" s="305" t="s">
        <v>868</v>
      </c>
      <c r="B60" s="306">
        <v>71294392</v>
      </c>
      <c r="C60" s="303" t="s">
        <v>296</v>
      </c>
      <c r="D60" s="303" t="s">
        <v>1290</v>
      </c>
      <c r="E60" s="306" t="s">
        <v>1101</v>
      </c>
      <c r="F60" s="306">
        <v>7575761</v>
      </c>
      <c r="G60" s="304" t="s">
        <v>1120</v>
      </c>
      <c r="H60" s="307" t="s">
        <v>289</v>
      </c>
      <c r="I60" s="330" t="s">
        <v>1267</v>
      </c>
      <c r="J60" s="364">
        <v>6.6</v>
      </c>
      <c r="K60" s="357">
        <v>0</v>
      </c>
      <c r="L60" s="357">
        <v>6.6</v>
      </c>
      <c r="M60" s="356">
        <v>0</v>
      </c>
      <c r="N60" s="357">
        <v>4633200</v>
      </c>
      <c r="O60" s="356"/>
      <c r="P60" s="356">
        <v>4633200</v>
      </c>
      <c r="Q60" s="357" t="s">
        <v>814</v>
      </c>
      <c r="R60" s="357">
        <v>0</v>
      </c>
      <c r="S60" s="357">
        <v>0</v>
      </c>
    </row>
    <row r="61" spans="1:19" ht="70.5" customHeight="1" x14ac:dyDescent="0.25">
      <c r="A61" s="305" t="s">
        <v>335</v>
      </c>
      <c r="B61" s="306" t="s">
        <v>336</v>
      </c>
      <c r="C61" s="303" t="s">
        <v>324</v>
      </c>
      <c r="D61" s="303" t="s">
        <v>1291</v>
      </c>
      <c r="E61" s="306"/>
      <c r="F61" s="306">
        <v>4297455</v>
      </c>
      <c r="G61" s="304" t="s">
        <v>1463</v>
      </c>
      <c r="H61" s="307" t="s">
        <v>289</v>
      </c>
      <c r="I61" s="330" t="s">
        <v>269</v>
      </c>
      <c r="J61" s="364">
        <v>4.5</v>
      </c>
      <c r="K61" s="357">
        <v>0</v>
      </c>
      <c r="L61" s="357">
        <v>4.5</v>
      </c>
      <c r="M61" s="356">
        <v>0</v>
      </c>
      <c r="N61" s="357">
        <v>3159000</v>
      </c>
      <c r="O61" s="356"/>
      <c r="P61" s="356">
        <v>3159000</v>
      </c>
      <c r="Q61" s="357" t="s">
        <v>814</v>
      </c>
      <c r="R61" s="357">
        <v>0</v>
      </c>
      <c r="S61" s="357">
        <v>0</v>
      </c>
    </row>
    <row r="62" spans="1:19" ht="70.5" customHeight="1" x14ac:dyDescent="0.25">
      <c r="A62" s="305" t="s">
        <v>178</v>
      </c>
      <c r="B62" s="306">
        <v>27298523</v>
      </c>
      <c r="C62" s="303" t="s">
        <v>318</v>
      </c>
      <c r="D62" s="303" t="s">
        <v>1292</v>
      </c>
      <c r="E62" s="306"/>
      <c r="F62" s="306">
        <v>2718583</v>
      </c>
      <c r="G62" s="304" t="s">
        <v>1193</v>
      </c>
      <c r="H62" s="307" t="s">
        <v>338</v>
      </c>
      <c r="I62" s="330" t="s">
        <v>269</v>
      </c>
      <c r="J62" s="364">
        <v>0</v>
      </c>
      <c r="K62" s="357">
        <v>5</v>
      </c>
      <c r="L62" s="357">
        <v>5</v>
      </c>
      <c r="M62" s="356">
        <v>0</v>
      </c>
      <c r="N62" s="357">
        <v>0</v>
      </c>
      <c r="O62" s="356"/>
      <c r="P62" s="356">
        <v>0</v>
      </c>
      <c r="Q62" s="357">
        <v>390000</v>
      </c>
      <c r="R62" s="357">
        <v>0</v>
      </c>
      <c r="S62" s="357">
        <v>390000</v>
      </c>
    </row>
    <row r="63" spans="1:19" ht="70.5" customHeight="1" x14ac:dyDescent="0.25">
      <c r="A63" s="305" t="s">
        <v>178</v>
      </c>
      <c r="B63" s="306">
        <v>27298523</v>
      </c>
      <c r="C63" s="303" t="s">
        <v>318</v>
      </c>
      <c r="D63" s="303" t="s">
        <v>1292</v>
      </c>
      <c r="E63" s="306"/>
      <c r="F63" s="306">
        <v>5793673</v>
      </c>
      <c r="G63" s="304" t="s">
        <v>1465</v>
      </c>
      <c r="H63" s="307" t="s">
        <v>321</v>
      </c>
      <c r="I63" s="330" t="s">
        <v>294</v>
      </c>
      <c r="J63" s="364">
        <v>5</v>
      </c>
      <c r="K63" s="357">
        <v>0</v>
      </c>
      <c r="L63" s="357">
        <v>5</v>
      </c>
      <c r="M63" s="356">
        <v>0</v>
      </c>
      <c r="N63" s="357">
        <v>3520044</v>
      </c>
      <c r="O63" s="356"/>
      <c r="P63" s="356">
        <v>3520044</v>
      </c>
      <c r="Q63" s="357">
        <v>323000</v>
      </c>
      <c r="R63" s="357">
        <v>0</v>
      </c>
      <c r="S63" s="357">
        <v>323000</v>
      </c>
    </row>
    <row r="64" spans="1:19" ht="70.5" customHeight="1" x14ac:dyDescent="0.25">
      <c r="A64" s="305" t="s">
        <v>178</v>
      </c>
      <c r="B64" s="306">
        <v>27298523</v>
      </c>
      <c r="C64" s="303" t="s">
        <v>318</v>
      </c>
      <c r="D64" s="303" t="s">
        <v>1292</v>
      </c>
      <c r="E64" s="306"/>
      <c r="F64" s="306">
        <v>3166608</v>
      </c>
      <c r="G64" s="304" t="s">
        <v>1464</v>
      </c>
      <c r="H64" s="307" t="s">
        <v>298</v>
      </c>
      <c r="I64" s="330" t="s">
        <v>278</v>
      </c>
      <c r="J64" s="364">
        <v>13</v>
      </c>
      <c r="K64" s="357">
        <v>0</v>
      </c>
      <c r="L64" s="357">
        <v>13</v>
      </c>
      <c r="M64" s="356">
        <v>26</v>
      </c>
      <c r="N64" s="357">
        <v>5990215</v>
      </c>
      <c r="O64" s="356"/>
      <c r="P64" s="356">
        <v>5990215</v>
      </c>
      <c r="Q64" s="357">
        <v>807000</v>
      </c>
      <c r="R64" s="357">
        <v>0</v>
      </c>
      <c r="S64" s="357">
        <v>807000</v>
      </c>
    </row>
    <row r="65" spans="1:19" ht="70.5" customHeight="1" x14ac:dyDescent="0.25">
      <c r="A65" s="305" t="s">
        <v>178</v>
      </c>
      <c r="B65" s="306">
        <v>27298523</v>
      </c>
      <c r="C65" s="303" t="s">
        <v>318</v>
      </c>
      <c r="D65" s="303" t="s">
        <v>1292</v>
      </c>
      <c r="E65" s="306"/>
      <c r="F65" s="306">
        <v>7044506</v>
      </c>
      <c r="G65" s="304" t="s">
        <v>1466</v>
      </c>
      <c r="H65" s="307" t="s">
        <v>337</v>
      </c>
      <c r="I65" s="330" t="s">
        <v>278</v>
      </c>
      <c r="J65" s="364">
        <v>17.75</v>
      </c>
      <c r="K65" s="357">
        <v>0</v>
      </c>
      <c r="L65" s="357">
        <v>17.75</v>
      </c>
      <c r="M65" s="356">
        <v>52</v>
      </c>
      <c r="N65" s="357">
        <v>11240933</v>
      </c>
      <c r="O65" s="356"/>
      <c r="P65" s="356">
        <v>11240933</v>
      </c>
      <c r="Q65" s="357">
        <v>1146000</v>
      </c>
      <c r="R65" s="357">
        <v>0</v>
      </c>
      <c r="S65" s="357">
        <v>1146000</v>
      </c>
    </row>
    <row r="66" spans="1:19" ht="70.5" customHeight="1" x14ac:dyDescent="0.25">
      <c r="A66" s="305" t="s">
        <v>166</v>
      </c>
      <c r="B66" s="306">
        <v>40233189</v>
      </c>
      <c r="C66" s="303" t="s">
        <v>288</v>
      </c>
      <c r="D66" s="303" t="s">
        <v>1293</v>
      </c>
      <c r="E66" s="306"/>
      <c r="F66" s="306">
        <v>5231429</v>
      </c>
      <c r="G66" s="304" t="s">
        <v>1184</v>
      </c>
      <c r="H66" s="307" t="s">
        <v>325</v>
      </c>
      <c r="I66" s="330" t="s">
        <v>294</v>
      </c>
      <c r="J66" s="364">
        <v>10.6</v>
      </c>
      <c r="K66" s="357">
        <v>0</v>
      </c>
      <c r="L66" s="357">
        <v>10.6</v>
      </c>
      <c r="M66" s="356">
        <v>0</v>
      </c>
      <c r="N66" s="357">
        <v>8282056</v>
      </c>
      <c r="O66" s="356"/>
      <c r="P66" s="356">
        <v>8282056</v>
      </c>
      <c r="Q66" s="357">
        <v>1002000</v>
      </c>
      <c r="R66" s="357">
        <v>0</v>
      </c>
      <c r="S66" s="357">
        <v>1002000</v>
      </c>
    </row>
    <row r="67" spans="1:19" ht="70.5" customHeight="1" x14ac:dyDescent="0.25">
      <c r="A67" s="305" t="s">
        <v>339</v>
      </c>
      <c r="B67" s="306">
        <v>43464343</v>
      </c>
      <c r="C67" s="303" t="s">
        <v>340</v>
      </c>
      <c r="D67" s="303" t="s">
        <v>1294</v>
      </c>
      <c r="E67" s="306"/>
      <c r="F67" s="306">
        <v>6361701</v>
      </c>
      <c r="G67" s="304" t="s">
        <v>1125</v>
      </c>
      <c r="H67" s="307" t="s">
        <v>314</v>
      </c>
      <c r="I67" s="330" t="s">
        <v>300</v>
      </c>
      <c r="J67" s="364">
        <v>3</v>
      </c>
      <c r="K67" s="357">
        <v>0</v>
      </c>
      <c r="L67" s="357">
        <v>3</v>
      </c>
      <c r="M67" s="356">
        <v>0</v>
      </c>
      <c r="N67" s="357">
        <v>1982282</v>
      </c>
      <c r="O67" s="356"/>
      <c r="P67" s="356">
        <v>1982282</v>
      </c>
      <c r="Q67" s="357">
        <v>253000</v>
      </c>
      <c r="R67" s="357">
        <v>0</v>
      </c>
      <c r="S67" s="357">
        <v>253000</v>
      </c>
    </row>
    <row r="68" spans="1:19" ht="70.5" customHeight="1" x14ac:dyDescent="0.25">
      <c r="A68" s="305" t="s">
        <v>341</v>
      </c>
      <c r="B68" s="306">
        <v>73633992</v>
      </c>
      <c r="C68" s="303" t="s">
        <v>340</v>
      </c>
      <c r="D68" s="303" t="s">
        <v>1295</v>
      </c>
      <c r="E68" s="306"/>
      <c r="F68" s="306">
        <v>3154692</v>
      </c>
      <c r="G68" s="304" t="s">
        <v>1467</v>
      </c>
      <c r="H68" s="307" t="s">
        <v>314</v>
      </c>
      <c r="I68" s="330" t="s">
        <v>294</v>
      </c>
      <c r="J68" s="364">
        <v>4</v>
      </c>
      <c r="K68" s="357">
        <v>0</v>
      </c>
      <c r="L68" s="357">
        <v>4</v>
      </c>
      <c r="M68" s="356">
        <v>0</v>
      </c>
      <c r="N68" s="357">
        <v>2792287</v>
      </c>
      <c r="O68" s="356"/>
      <c r="P68" s="356">
        <v>2792287</v>
      </c>
      <c r="Q68" s="357">
        <v>286000</v>
      </c>
      <c r="R68" s="357">
        <v>0</v>
      </c>
      <c r="S68" s="357">
        <v>286000</v>
      </c>
    </row>
    <row r="69" spans="1:19" ht="70.5" customHeight="1" x14ac:dyDescent="0.25">
      <c r="A69" s="305" t="s">
        <v>341</v>
      </c>
      <c r="B69" s="306">
        <v>73633992</v>
      </c>
      <c r="C69" s="303" t="s">
        <v>340</v>
      </c>
      <c r="D69" s="303" t="s">
        <v>1295</v>
      </c>
      <c r="E69" s="306"/>
      <c r="F69" s="306">
        <v>7080749</v>
      </c>
      <c r="G69" s="304" t="s">
        <v>840</v>
      </c>
      <c r="H69" s="307" t="s">
        <v>314</v>
      </c>
      <c r="I69" s="330" t="s">
        <v>294</v>
      </c>
      <c r="J69" s="364">
        <v>5</v>
      </c>
      <c r="K69" s="357">
        <v>0</v>
      </c>
      <c r="L69" s="357">
        <v>5</v>
      </c>
      <c r="M69" s="356">
        <v>0</v>
      </c>
      <c r="N69" s="357">
        <v>3361421</v>
      </c>
      <c r="O69" s="356"/>
      <c r="P69" s="356">
        <v>3361421</v>
      </c>
      <c r="Q69" s="357">
        <v>416000</v>
      </c>
      <c r="R69" s="357">
        <v>0</v>
      </c>
      <c r="S69" s="357">
        <v>416000</v>
      </c>
    </row>
    <row r="70" spans="1:19" ht="70.5" customHeight="1" x14ac:dyDescent="0.25">
      <c r="A70" s="305" t="s">
        <v>341</v>
      </c>
      <c r="B70" s="306">
        <v>73633992</v>
      </c>
      <c r="C70" s="303" t="s">
        <v>340</v>
      </c>
      <c r="D70" s="303" t="s">
        <v>1295</v>
      </c>
      <c r="E70" s="306"/>
      <c r="F70" s="306">
        <v>8492814</v>
      </c>
      <c r="G70" s="304" t="s">
        <v>1468</v>
      </c>
      <c r="H70" s="307" t="s">
        <v>330</v>
      </c>
      <c r="I70" s="330" t="s">
        <v>300</v>
      </c>
      <c r="J70" s="364">
        <v>3</v>
      </c>
      <c r="K70" s="357">
        <v>0</v>
      </c>
      <c r="L70" s="357">
        <v>3</v>
      </c>
      <c r="M70" s="356">
        <v>0</v>
      </c>
      <c r="N70" s="357">
        <v>2224405</v>
      </c>
      <c r="O70" s="356"/>
      <c r="P70" s="356">
        <v>2224405</v>
      </c>
      <c r="Q70" s="357">
        <v>246000</v>
      </c>
      <c r="R70" s="357">
        <v>0</v>
      </c>
      <c r="S70" s="357">
        <v>246000</v>
      </c>
    </row>
    <row r="71" spans="1:19" ht="70.5" customHeight="1" x14ac:dyDescent="0.25">
      <c r="A71" s="305" t="s">
        <v>341</v>
      </c>
      <c r="B71" s="306">
        <v>73633992</v>
      </c>
      <c r="C71" s="303" t="s">
        <v>340</v>
      </c>
      <c r="D71" s="303" t="s">
        <v>1295</v>
      </c>
      <c r="E71" s="306"/>
      <c r="F71" s="306">
        <v>3428319</v>
      </c>
      <c r="G71" s="304" t="s">
        <v>1146</v>
      </c>
      <c r="H71" s="307" t="s">
        <v>330</v>
      </c>
      <c r="I71" s="330" t="s">
        <v>300</v>
      </c>
      <c r="J71" s="364">
        <v>5</v>
      </c>
      <c r="K71" s="365" t="s">
        <v>1424</v>
      </c>
      <c r="L71" s="357">
        <v>7.5</v>
      </c>
      <c r="M71" s="356">
        <v>0</v>
      </c>
      <c r="N71" s="357">
        <v>2876084</v>
      </c>
      <c r="O71" s="356"/>
      <c r="P71" s="356">
        <v>2876084</v>
      </c>
      <c r="Q71" s="357">
        <v>456000</v>
      </c>
      <c r="R71" s="357">
        <v>0</v>
      </c>
      <c r="S71" s="357">
        <v>456000</v>
      </c>
    </row>
    <row r="72" spans="1:19" ht="70.5" customHeight="1" x14ac:dyDescent="0.25">
      <c r="A72" s="305" t="s">
        <v>341</v>
      </c>
      <c r="B72" s="306">
        <v>73633992</v>
      </c>
      <c r="C72" s="303" t="s">
        <v>340</v>
      </c>
      <c r="D72" s="303" t="s">
        <v>1295</v>
      </c>
      <c r="E72" s="306"/>
      <c r="F72" s="306">
        <v>5741111</v>
      </c>
      <c r="G72" s="304" t="s">
        <v>847</v>
      </c>
      <c r="H72" s="307" t="s">
        <v>325</v>
      </c>
      <c r="I72" s="330" t="s">
        <v>294</v>
      </c>
      <c r="J72" s="364">
        <v>8.5</v>
      </c>
      <c r="K72" s="357">
        <v>0</v>
      </c>
      <c r="L72" s="357">
        <v>8.5</v>
      </c>
      <c r="M72" s="356">
        <v>0</v>
      </c>
      <c r="N72" s="357">
        <v>4399180</v>
      </c>
      <c r="O72" s="356"/>
      <c r="P72" s="356">
        <v>4399180</v>
      </c>
      <c r="Q72" s="357">
        <v>804000</v>
      </c>
      <c r="R72" s="357">
        <v>0</v>
      </c>
      <c r="S72" s="357">
        <v>804000</v>
      </c>
    </row>
    <row r="73" spans="1:19" ht="70.5" customHeight="1" x14ac:dyDescent="0.25">
      <c r="A73" s="305" t="s">
        <v>88</v>
      </c>
      <c r="B73" s="306">
        <v>40229939</v>
      </c>
      <c r="C73" s="303" t="s">
        <v>340</v>
      </c>
      <c r="D73" s="303" t="s">
        <v>1296</v>
      </c>
      <c r="E73" s="306"/>
      <c r="F73" s="306">
        <v>3632154</v>
      </c>
      <c r="G73" s="304" t="s">
        <v>1150</v>
      </c>
      <c r="H73" s="307" t="s">
        <v>325</v>
      </c>
      <c r="I73" s="330" t="s">
        <v>294</v>
      </c>
      <c r="J73" s="364">
        <v>9.5</v>
      </c>
      <c r="K73" s="357">
        <v>0</v>
      </c>
      <c r="L73" s="357">
        <v>9.5</v>
      </c>
      <c r="M73" s="356">
        <v>0</v>
      </c>
      <c r="N73" s="357">
        <v>5589881</v>
      </c>
      <c r="O73" s="356"/>
      <c r="P73" s="356">
        <v>5589881</v>
      </c>
      <c r="Q73" s="357">
        <v>613000</v>
      </c>
      <c r="R73" s="357">
        <v>0</v>
      </c>
      <c r="S73" s="357">
        <v>613000</v>
      </c>
    </row>
    <row r="74" spans="1:19" ht="70.5" customHeight="1" x14ac:dyDescent="0.25">
      <c r="A74" s="305" t="s">
        <v>886</v>
      </c>
      <c r="B74" s="306" t="s">
        <v>1428</v>
      </c>
      <c r="C74" s="303" t="s">
        <v>374</v>
      </c>
      <c r="D74" s="303" t="s">
        <v>1297</v>
      </c>
      <c r="E74" s="306"/>
      <c r="F74" s="306">
        <v>4757012</v>
      </c>
      <c r="G74" s="304" t="s">
        <v>1469</v>
      </c>
      <c r="H74" s="307" t="s">
        <v>268</v>
      </c>
      <c r="I74" s="330" t="s">
        <v>300</v>
      </c>
      <c r="J74" s="364">
        <v>1</v>
      </c>
      <c r="K74" s="357">
        <v>0</v>
      </c>
      <c r="L74" s="357">
        <v>1</v>
      </c>
      <c r="M74" s="356">
        <v>0</v>
      </c>
      <c r="N74" s="357">
        <v>757105</v>
      </c>
      <c r="O74" s="356"/>
      <c r="P74" s="356">
        <v>757105</v>
      </c>
      <c r="Q74" s="357">
        <v>63000</v>
      </c>
      <c r="R74" s="357">
        <v>0</v>
      </c>
      <c r="S74" s="357">
        <v>63000</v>
      </c>
    </row>
    <row r="75" spans="1:19" ht="70.5" customHeight="1" x14ac:dyDescent="0.25">
      <c r="A75" s="305" t="s">
        <v>344</v>
      </c>
      <c r="B75" s="306">
        <v>71220097</v>
      </c>
      <c r="C75" s="303" t="s">
        <v>296</v>
      </c>
      <c r="D75" s="303" t="s">
        <v>1298</v>
      </c>
      <c r="E75" s="306" t="s">
        <v>1101</v>
      </c>
      <c r="F75" s="306">
        <v>4890597</v>
      </c>
      <c r="G75" s="304" t="s">
        <v>1209</v>
      </c>
      <c r="H75" s="307" t="s">
        <v>337</v>
      </c>
      <c r="I75" s="330" t="s">
        <v>278</v>
      </c>
      <c r="J75" s="364">
        <v>3.3</v>
      </c>
      <c r="K75" s="357">
        <v>0</v>
      </c>
      <c r="L75" s="357">
        <v>3.3</v>
      </c>
      <c r="M75" s="356">
        <v>10</v>
      </c>
      <c r="N75" s="357">
        <v>2278000</v>
      </c>
      <c r="O75" s="356"/>
      <c r="P75" s="356">
        <v>2278000</v>
      </c>
      <c r="Q75" s="357" t="s">
        <v>814</v>
      </c>
      <c r="R75" s="357">
        <v>0</v>
      </c>
      <c r="S75" s="357">
        <v>0</v>
      </c>
    </row>
    <row r="76" spans="1:19" ht="70.5" customHeight="1" x14ac:dyDescent="0.25">
      <c r="A76" s="305" t="s">
        <v>344</v>
      </c>
      <c r="B76" s="306">
        <v>71220097</v>
      </c>
      <c r="C76" s="303" t="s">
        <v>296</v>
      </c>
      <c r="D76" s="303" t="s">
        <v>1298</v>
      </c>
      <c r="E76" s="306" t="s">
        <v>1101</v>
      </c>
      <c r="F76" s="306">
        <v>4418892</v>
      </c>
      <c r="G76" s="304" t="s">
        <v>1114</v>
      </c>
      <c r="H76" s="307" t="s">
        <v>298</v>
      </c>
      <c r="I76" s="330" t="s">
        <v>278</v>
      </c>
      <c r="J76" s="364">
        <v>30.7</v>
      </c>
      <c r="K76" s="357">
        <v>0</v>
      </c>
      <c r="L76" s="357">
        <v>30.7</v>
      </c>
      <c r="M76" s="356">
        <v>48</v>
      </c>
      <c r="N76" s="357">
        <v>12571240</v>
      </c>
      <c r="O76" s="356"/>
      <c r="P76" s="356">
        <v>12571240</v>
      </c>
      <c r="Q76" s="357" t="s">
        <v>814</v>
      </c>
      <c r="R76" s="357">
        <v>0</v>
      </c>
      <c r="S76" s="357">
        <v>0</v>
      </c>
    </row>
    <row r="77" spans="1:19" ht="70.5" customHeight="1" x14ac:dyDescent="0.25">
      <c r="A77" s="305" t="s">
        <v>345</v>
      </c>
      <c r="B77" s="306">
        <v>75070758</v>
      </c>
      <c r="C77" s="303" t="s">
        <v>296</v>
      </c>
      <c r="D77" s="303" t="s">
        <v>1299</v>
      </c>
      <c r="E77" s="306" t="s">
        <v>1101</v>
      </c>
      <c r="F77" s="306">
        <v>1347706</v>
      </c>
      <c r="G77" s="304" t="s">
        <v>1470</v>
      </c>
      <c r="H77" s="307" t="s">
        <v>298</v>
      </c>
      <c r="I77" s="330" t="s">
        <v>278</v>
      </c>
      <c r="J77" s="364">
        <v>28.3</v>
      </c>
      <c r="K77" s="357">
        <v>0</v>
      </c>
      <c r="L77" s="357">
        <v>28.3</v>
      </c>
      <c r="M77" s="356">
        <v>37</v>
      </c>
      <c r="N77" s="357">
        <v>12664567</v>
      </c>
      <c r="O77" s="356"/>
      <c r="P77" s="356">
        <v>12664567</v>
      </c>
      <c r="Q77" s="357" t="s">
        <v>814</v>
      </c>
      <c r="R77" s="357">
        <v>0</v>
      </c>
      <c r="S77" s="357">
        <v>0</v>
      </c>
    </row>
    <row r="78" spans="1:19" ht="70.5" customHeight="1" x14ac:dyDescent="0.25">
      <c r="A78" s="305" t="s">
        <v>345</v>
      </c>
      <c r="B78" s="306">
        <v>75070758</v>
      </c>
      <c r="C78" s="303" t="s">
        <v>296</v>
      </c>
      <c r="D78" s="303" t="s">
        <v>1299</v>
      </c>
      <c r="E78" s="306" t="s">
        <v>1101</v>
      </c>
      <c r="F78" s="306">
        <v>9653966</v>
      </c>
      <c r="G78" s="304" t="s">
        <v>1471</v>
      </c>
      <c r="H78" s="307" t="s">
        <v>297</v>
      </c>
      <c r="I78" s="330" t="s">
        <v>269</v>
      </c>
      <c r="J78" s="364">
        <v>11.7</v>
      </c>
      <c r="K78" s="357">
        <v>0</v>
      </c>
      <c r="L78" s="357">
        <v>11.7</v>
      </c>
      <c r="M78" s="356">
        <v>0</v>
      </c>
      <c r="N78" s="357">
        <v>5202000</v>
      </c>
      <c r="O78" s="356"/>
      <c r="P78" s="356">
        <v>5202000</v>
      </c>
      <c r="Q78" s="357" t="s">
        <v>814</v>
      </c>
      <c r="R78" s="357">
        <v>0</v>
      </c>
      <c r="S78" s="357">
        <v>0</v>
      </c>
    </row>
    <row r="79" spans="1:19" ht="70.5" customHeight="1" x14ac:dyDescent="0.25">
      <c r="A79" s="305" t="s">
        <v>346</v>
      </c>
      <c r="B79" s="306">
        <v>71167463</v>
      </c>
      <c r="C79" s="303" t="s">
        <v>324</v>
      </c>
      <c r="D79" s="303" t="s">
        <v>1300</v>
      </c>
      <c r="E79" s="306"/>
      <c r="F79" s="306">
        <v>3555154</v>
      </c>
      <c r="G79" s="304" t="s">
        <v>1472</v>
      </c>
      <c r="H79" s="307" t="s">
        <v>325</v>
      </c>
      <c r="I79" s="330" t="s">
        <v>294</v>
      </c>
      <c r="J79" s="364">
        <v>5</v>
      </c>
      <c r="K79" s="357">
        <v>0</v>
      </c>
      <c r="L79" s="357">
        <v>5</v>
      </c>
      <c r="M79" s="356">
        <v>0</v>
      </c>
      <c r="N79" s="357">
        <v>2616300</v>
      </c>
      <c r="O79" s="356"/>
      <c r="P79" s="356">
        <v>2616300</v>
      </c>
      <c r="Q79" s="357" t="s">
        <v>814</v>
      </c>
      <c r="R79" s="357">
        <v>0</v>
      </c>
      <c r="S79" s="357">
        <v>0</v>
      </c>
    </row>
    <row r="80" spans="1:19" ht="70.5" customHeight="1" x14ac:dyDescent="0.25">
      <c r="A80" s="305" t="s">
        <v>346</v>
      </c>
      <c r="B80" s="309">
        <v>71167463</v>
      </c>
      <c r="C80" s="303" t="s">
        <v>324</v>
      </c>
      <c r="D80" s="303" t="s">
        <v>1300</v>
      </c>
      <c r="E80" s="309"/>
      <c r="F80" s="306">
        <v>3001174</v>
      </c>
      <c r="G80" s="304" t="s">
        <v>1136</v>
      </c>
      <c r="H80" s="307" t="s">
        <v>285</v>
      </c>
      <c r="I80" s="330" t="s">
        <v>278</v>
      </c>
      <c r="J80" s="364">
        <v>15.75</v>
      </c>
      <c r="K80" s="357">
        <v>0</v>
      </c>
      <c r="L80" s="357">
        <v>15.75</v>
      </c>
      <c r="M80" s="356">
        <v>35</v>
      </c>
      <c r="N80" s="357">
        <v>7171066</v>
      </c>
      <c r="O80" s="356"/>
      <c r="P80" s="356">
        <v>7171066</v>
      </c>
      <c r="Q80" s="357" t="s">
        <v>814</v>
      </c>
      <c r="R80" s="357">
        <v>0</v>
      </c>
      <c r="S80" s="357">
        <v>0</v>
      </c>
    </row>
    <row r="81" spans="1:19" ht="70.5" customHeight="1" x14ac:dyDescent="0.25">
      <c r="A81" s="305" t="s">
        <v>347</v>
      </c>
      <c r="B81" s="309">
        <v>71220020</v>
      </c>
      <c r="C81" s="303" t="s">
        <v>296</v>
      </c>
      <c r="D81" s="303" t="s">
        <v>1301</v>
      </c>
      <c r="E81" s="309" t="s">
        <v>1101</v>
      </c>
      <c r="F81" s="306">
        <v>8588423</v>
      </c>
      <c r="G81" s="304" t="s">
        <v>347</v>
      </c>
      <c r="H81" s="307" t="s">
        <v>285</v>
      </c>
      <c r="I81" s="330" t="s">
        <v>278</v>
      </c>
      <c r="J81" s="364">
        <v>15.2</v>
      </c>
      <c r="K81" s="357">
        <v>0</v>
      </c>
      <c r="L81" s="357">
        <v>15.2</v>
      </c>
      <c r="M81" s="356">
        <v>41</v>
      </c>
      <c r="N81" s="357">
        <v>4241160</v>
      </c>
      <c r="O81" s="356"/>
      <c r="P81" s="356">
        <v>4241160</v>
      </c>
      <c r="Q81" s="357" t="s">
        <v>814</v>
      </c>
      <c r="R81" s="357">
        <v>0</v>
      </c>
      <c r="S81" s="357">
        <v>0</v>
      </c>
    </row>
    <row r="82" spans="1:19" ht="70.5" customHeight="1" x14ac:dyDescent="0.25">
      <c r="A82" s="305" t="s">
        <v>347</v>
      </c>
      <c r="B82" s="306">
        <v>71220020</v>
      </c>
      <c r="C82" s="303" t="s">
        <v>296</v>
      </c>
      <c r="D82" s="303" t="s">
        <v>1301</v>
      </c>
      <c r="E82" s="306" t="s">
        <v>1101</v>
      </c>
      <c r="F82" s="306">
        <v>3139161</v>
      </c>
      <c r="G82" s="304" t="s">
        <v>347</v>
      </c>
      <c r="H82" s="307" t="s">
        <v>290</v>
      </c>
      <c r="I82" s="330" t="s">
        <v>278</v>
      </c>
      <c r="J82" s="364">
        <v>32.299999999999997</v>
      </c>
      <c r="K82" s="357">
        <v>0</v>
      </c>
      <c r="L82" s="357">
        <v>32.299999999999997</v>
      </c>
      <c r="M82" s="356">
        <v>59</v>
      </c>
      <c r="N82" s="357">
        <v>9372627</v>
      </c>
      <c r="O82" s="356"/>
      <c r="P82" s="356">
        <v>9372627</v>
      </c>
      <c r="Q82" s="357" t="s">
        <v>814</v>
      </c>
      <c r="R82" s="357">
        <v>0</v>
      </c>
      <c r="S82" s="357">
        <v>0</v>
      </c>
    </row>
    <row r="83" spans="1:19" ht="70.5" customHeight="1" x14ac:dyDescent="0.25">
      <c r="A83" s="305" t="s">
        <v>347</v>
      </c>
      <c r="B83" s="306">
        <v>71220020</v>
      </c>
      <c r="C83" s="303" t="s">
        <v>296</v>
      </c>
      <c r="D83" s="303" t="s">
        <v>1301</v>
      </c>
      <c r="E83" s="306" t="s">
        <v>1101</v>
      </c>
      <c r="F83" s="306">
        <v>6825285</v>
      </c>
      <c r="G83" s="304" t="s">
        <v>1473</v>
      </c>
      <c r="H83" s="307" t="s">
        <v>285</v>
      </c>
      <c r="I83" s="330" t="s">
        <v>278</v>
      </c>
      <c r="J83" s="364">
        <v>18.690000000000001</v>
      </c>
      <c r="K83" s="357">
        <v>0</v>
      </c>
      <c r="L83" s="357">
        <v>18.690000000000001</v>
      </c>
      <c r="M83" s="356">
        <v>24</v>
      </c>
      <c r="N83" s="357">
        <v>4789331</v>
      </c>
      <c r="O83" s="356"/>
      <c r="P83" s="356">
        <v>4789331</v>
      </c>
      <c r="Q83" s="357" t="s">
        <v>814</v>
      </c>
      <c r="R83" s="357">
        <v>0</v>
      </c>
      <c r="S83" s="357">
        <v>0</v>
      </c>
    </row>
    <row r="84" spans="1:19" ht="70.5" customHeight="1" x14ac:dyDescent="0.25">
      <c r="A84" s="305" t="s">
        <v>347</v>
      </c>
      <c r="B84" s="306">
        <v>71220020</v>
      </c>
      <c r="C84" s="303" t="s">
        <v>296</v>
      </c>
      <c r="D84" s="303" t="s">
        <v>1301</v>
      </c>
      <c r="E84" s="306" t="s">
        <v>1101</v>
      </c>
      <c r="F84" s="306">
        <v>8571928</v>
      </c>
      <c r="G84" s="304" t="s">
        <v>1473</v>
      </c>
      <c r="H84" s="307" t="s">
        <v>290</v>
      </c>
      <c r="I84" s="330" t="s">
        <v>278</v>
      </c>
      <c r="J84" s="364">
        <v>7.96</v>
      </c>
      <c r="K84" s="357">
        <v>0</v>
      </c>
      <c r="L84" s="357">
        <v>7.96</v>
      </c>
      <c r="M84" s="356">
        <v>10</v>
      </c>
      <c r="N84" s="357">
        <v>2818080</v>
      </c>
      <c r="O84" s="356"/>
      <c r="P84" s="356">
        <v>2818080</v>
      </c>
      <c r="Q84" s="357" t="s">
        <v>814</v>
      </c>
      <c r="R84" s="357">
        <v>0</v>
      </c>
      <c r="S84" s="357">
        <v>0</v>
      </c>
    </row>
    <row r="85" spans="1:19" ht="70.5" customHeight="1" x14ac:dyDescent="0.25">
      <c r="A85" s="305" t="s">
        <v>347</v>
      </c>
      <c r="B85" s="306">
        <v>71220020</v>
      </c>
      <c r="C85" s="303" t="s">
        <v>296</v>
      </c>
      <c r="D85" s="303" t="s">
        <v>1301</v>
      </c>
      <c r="E85" s="306" t="s">
        <v>1101</v>
      </c>
      <c r="F85" s="306">
        <v>8141365</v>
      </c>
      <c r="G85" s="304" t="s">
        <v>1473</v>
      </c>
      <c r="H85" s="307" t="s">
        <v>1414</v>
      </c>
      <c r="I85" s="330" t="s">
        <v>278</v>
      </c>
      <c r="J85" s="364">
        <v>3.35</v>
      </c>
      <c r="K85" s="357">
        <v>0</v>
      </c>
      <c r="L85" s="357">
        <v>3.35</v>
      </c>
      <c r="M85" s="356">
        <v>2</v>
      </c>
      <c r="N85" s="357">
        <v>340742</v>
      </c>
      <c r="O85" s="356"/>
      <c r="P85" s="356">
        <v>340742</v>
      </c>
      <c r="Q85" s="357" t="s">
        <v>814</v>
      </c>
      <c r="R85" s="357">
        <v>0</v>
      </c>
      <c r="S85" s="357">
        <v>0</v>
      </c>
    </row>
    <row r="86" spans="1:19" ht="70.5" customHeight="1" x14ac:dyDescent="0.25">
      <c r="A86" s="305" t="s">
        <v>348</v>
      </c>
      <c r="B86" s="306">
        <v>71220011</v>
      </c>
      <c r="C86" s="303" t="s">
        <v>296</v>
      </c>
      <c r="D86" s="303" t="s">
        <v>1302</v>
      </c>
      <c r="E86" s="306" t="s">
        <v>1101</v>
      </c>
      <c r="F86" s="306">
        <v>4654168</v>
      </c>
      <c r="G86" s="304" t="s">
        <v>348</v>
      </c>
      <c r="H86" s="307" t="s">
        <v>290</v>
      </c>
      <c r="I86" s="330" t="s">
        <v>278</v>
      </c>
      <c r="J86" s="364">
        <v>26.5</v>
      </c>
      <c r="K86" s="357">
        <v>0</v>
      </c>
      <c r="L86" s="357">
        <v>26.5</v>
      </c>
      <c r="M86" s="356">
        <v>48</v>
      </c>
      <c r="N86" s="357">
        <v>9074430</v>
      </c>
      <c r="O86" s="356"/>
      <c r="P86" s="356">
        <v>9074430</v>
      </c>
      <c r="Q86" s="357" t="s">
        <v>814</v>
      </c>
      <c r="R86" s="357">
        <v>0</v>
      </c>
      <c r="S86" s="357">
        <v>0</v>
      </c>
    </row>
    <row r="87" spans="1:19" ht="70.5" customHeight="1" x14ac:dyDescent="0.25">
      <c r="A87" s="305" t="s">
        <v>348</v>
      </c>
      <c r="B87" s="306">
        <v>71220011</v>
      </c>
      <c r="C87" s="303" t="s">
        <v>296</v>
      </c>
      <c r="D87" s="303" t="s">
        <v>1302</v>
      </c>
      <c r="E87" s="306" t="s">
        <v>1101</v>
      </c>
      <c r="F87" s="306">
        <v>9139875</v>
      </c>
      <c r="G87" s="304" t="s">
        <v>1474</v>
      </c>
      <c r="H87" s="307" t="s">
        <v>285</v>
      </c>
      <c r="I87" s="330" t="s">
        <v>278</v>
      </c>
      <c r="J87" s="364">
        <v>25</v>
      </c>
      <c r="K87" s="357">
        <v>0</v>
      </c>
      <c r="L87" s="357">
        <v>25</v>
      </c>
      <c r="M87" s="356">
        <v>47</v>
      </c>
      <c r="N87" s="357">
        <v>9367583</v>
      </c>
      <c r="O87" s="356"/>
      <c r="P87" s="356">
        <v>9367583</v>
      </c>
      <c r="Q87" s="357" t="s">
        <v>814</v>
      </c>
      <c r="R87" s="357">
        <v>0</v>
      </c>
      <c r="S87" s="357">
        <v>0</v>
      </c>
    </row>
    <row r="88" spans="1:19" ht="70.5" customHeight="1" x14ac:dyDescent="0.25">
      <c r="A88" s="305" t="s">
        <v>349</v>
      </c>
      <c r="B88" s="306">
        <v>71220046</v>
      </c>
      <c r="C88" s="303" t="s">
        <v>296</v>
      </c>
      <c r="D88" s="303" t="s">
        <v>1303</v>
      </c>
      <c r="E88" s="306" t="s">
        <v>1101</v>
      </c>
      <c r="F88" s="306">
        <v>9450071</v>
      </c>
      <c r="G88" s="304" t="s">
        <v>1475</v>
      </c>
      <c r="H88" s="307" t="s">
        <v>285</v>
      </c>
      <c r="I88" s="330" t="s">
        <v>278</v>
      </c>
      <c r="J88" s="364">
        <v>11.75</v>
      </c>
      <c r="K88" s="357">
        <v>0</v>
      </c>
      <c r="L88" s="357">
        <v>11.75</v>
      </c>
      <c r="M88" s="356">
        <v>18</v>
      </c>
      <c r="N88" s="357">
        <v>3580200</v>
      </c>
      <c r="O88" s="356"/>
      <c r="P88" s="356">
        <v>3580200</v>
      </c>
      <c r="Q88" s="357" t="s">
        <v>814</v>
      </c>
      <c r="R88" s="357">
        <v>0</v>
      </c>
      <c r="S88" s="357">
        <v>0</v>
      </c>
    </row>
    <row r="89" spans="1:19" ht="70.5" customHeight="1" x14ac:dyDescent="0.25">
      <c r="A89" s="305" t="s">
        <v>349</v>
      </c>
      <c r="B89" s="306">
        <v>71220046</v>
      </c>
      <c r="C89" s="303" t="s">
        <v>296</v>
      </c>
      <c r="D89" s="303" t="s">
        <v>1303</v>
      </c>
      <c r="E89" s="306" t="s">
        <v>1101</v>
      </c>
      <c r="F89" s="306">
        <v>9266427</v>
      </c>
      <c r="G89" s="304" t="s">
        <v>1475</v>
      </c>
      <c r="H89" s="307" t="s">
        <v>290</v>
      </c>
      <c r="I89" s="330" t="s">
        <v>278</v>
      </c>
      <c r="J89" s="364">
        <v>35.25</v>
      </c>
      <c r="K89" s="357">
        <v>0</v>
      </c>
      <c r="L89" s="357">
        <v>35.25</v>
      </c>
      <c r="M89" s="356">
        <v>52</v>
      </c>
      <c r="N89" s="357">
        <v>11241880</v>
      </c>
      <c r="O89" s="356"/>
      <c r="P89" s="356">
        <v>11241880</v>
      </c>
      <c r="Q89" s="357" t="s">
        <v>814</v>
      </c>
      <c r="R89" s="357">
        <v>0</v>
      </c>
      <c r="S89" s="357">
        <v>0</v>
      </c>
    </row>
    <row r="90" spans="1:19" ht="70.5" customHeight="1" x14ac:dyDescent="0.25">
      <c r="A90" s="305" t="s">
        <v>350</v>
      </c>
      <c r="B90" s="306" t="s">
        <v>351</v>
      </c>
      <c r="C90" s="303" t="s">
        <v>296</v>
      </c>
      <c r="D90" s="303" t="s">
        <v>1304</v>
      </c>
      <c r="E90" s="306" t="s">
        <v>1101</v>
      </c>
      <c r="F90" s="306">
        <v>2522751</v>
      </c>
      <c r="G90" s="304" t="s">
        <v>350</v>
      </c>
      <c r="H90" s="307" t="s">
        <v>285</v>
      </c>
      <c r="I90" s="330" t="s">
        <v>278</v>
      </c>
      <c r="J90" s="364">
        <v>28.96</v>
      </c>
      <c r="K90" s="357">
        <v>0</v>
      </c>
      <c r="L90" s="357">
        <v>28.96</v>
      </c>
      <c r="M90" s="356">
        <v>62</v>
      </c>
      <c r="N90" s="357">
        <v>7145725</v>
      </c>
      <c r="O90" s="356"/>
      <c r="P90" s="356">
        <v>7145725</v>
      </c>
      <c r="Q90" s="357" t="s">
        <v>814</v>
      </c>
      <c r="R90" s="357">
        <v>0</v>
      </c>
      <c r="S90" s="357">
        <v>0</v>
      </c>
    </row>
    <row r="91" spans="1:19" ht="70.5" customHeight="1" x14ac:dyDescent="0.25">
      <c r="A91" s="305" t="s">
        <v>350</v>
      </c>
      <c r="B91" s="306" t="s">
        <v>351</v>
      </c>
      <c r="C91" s="303" t="s">
        <v>296</v>
      </c>
      <c r="D91" s="303" t="s">
        <v>1304</v>
      </c>
      <c r="E91" s="306" t="s">
        <v>1101</v>
      </c>
      <c r="F91" s="306">
        <v>8760544</v>
      </c>
      <c r="G91" s="304" t="s">
        <v>350</v>
      </c>
      <c r="H91" s="307" t="s">
        <v>290</v>
      </c>
      <c r="I91" s="330" t="s">
        <v>278</v>
      </c>
      <c r="J91" s="364">
        <v>30.41</v>
      </c>
      <c r="K91" s="357">
        <v>0</v>
      </c>
      <c r="L91" s="357">
        <v>30.41</v>
      </c>
      <c r="M91" s="356">
        <v>49</v>
      </c>
      <c r="N91" s="357">
        <v>9223282</v>
      </c>
      <c r="O91" s="356"/>
      <c r="P91" s="356">
        <v>9223282</v>
      </c>
      <c r="Q91" s="357" t="s">
        <v>814</v>
      </c>
      <c r="R91" s="357">
        <v>0</v>
      </c>
      <c r="S91" s="357">
        <v>0</v>
      </c>
    </row>
    <row r="92" spans="1:19" ht="70.5" customHeight="1" x14ac:dyDescent="0.25">
      <c r="A92" s="305" t="s">
        <v>352</v>
      </c>
      <c r="B92" s="306">
        <v>48282928</v>
      </c>
      <c r="C92" s="303" t="s">
        <v>296</v>
      </c>
      <c r="D92" s="303" t="s">
        <v>1305</v>
      </c>
      <c r="E92" s="306" t="s">
        <v>1101</v>
      </c>
      <c r="F92" s="306">
        <v>9835515</v>
      </c>
      <c r="G92" s="304" t="s">
        <v>1476</v>
      </c>
      <c r="H92" s="307" t="s">
        <v>290</v>
      </c>
      <c r="I92" s="330" t="s">
        <v>278</v>
      </c>
      <c r="J92" s="364">
        <v>47</v>
      </c>
      <c r="K92" s="357">
        <v>0</v>
      </c>
      <c r="L92" s="357">
        <v>47</v>
      </c>
      <c r="M92" s="356">
        <v>80</v>
      </c>
      <c r="N92" s="357">
        <v>14154233</v>
      </c>
      <c r="O92" s="356"/>
      <c r="P92" s="356">
        <v>14154233</v>
      </c>
      <c r="Q92" s="357" t="s">
        <v>814</v>
      </c>
      <c r="R92" s="357">
        <v>0</v>
      </c>
      <c r="S92" s="357">
        <v>0</v>
      </c>
    </row>
    <row r="93" spans="1:19" ht="70.5" customHeight="1" x14ac:dyDescent="0.25">
      <c r="A93" s="305" t="s">
        <v>353</v>
      </c>
      <c r="B93" s="306">
        <v>71220003</v>
      </c>
      <c r="C93" s="303" t="s">
        <v>296</v>
      </c>
      <c r="D93" s="303" t="s">
        <v>1306</v>
      </c>
      <c r="E93" s="306" t="s">
        <v>1101</v>
      </c>
      <c r="F93" s="306">
        <v>4630845</v>
      </c>
      <c r="G93" s="304" t="s">
        <v>353</v>
      </c>
      <c r="H93" s="307" t="s">
        <v>290</v>
      </c>
      <c r="I93" s="330" t="s">
        <v>278</v>
      </c>
      <c r="J93" s="364">
        <v>15.6</v>
      </c>
      <c r="K93" s="357">
        <v>0</v>
      </c>
      <c r="L93" s="357">
        <v>15.6</v>
      </c>
      <c r="M93" s="356">
        <v>22</v>
      </c>
      <c r="N93" s="357">
        <v>7147800</v>
      </c>
      <c r="O93" s="356"/>
      <c r="P93" s="356">
        <v>7147800</v>
      </c>
      <c r="Q93" s="357" t="s">
        <v>814</v>
      </c>
      <c r="R93" s="357">
        <v>0</v>
      </c>
      <c r="S93" s="357">
        <v>0</v>
      </c>
    </row>
    <row r="94" spans="1:19" ht="70.5" customHeight="1" x14ac:dyDescent="0.25">
      <c r="A94" s="305" t="s">
        <v>353</v>
      </c>
      <c r="B94" s="306">
        <v>71220003</v>
      </c>
      <c r="C94" s="303" t="s">
        <v>296</v>
      </c>
      <c r="D94" s="303" t="s">
        <v>1306</v>
      </c>
      <c r="E94" s="306" t="s">
        <v>1101</v>
      </c>
      <c r="F94" s="306">
        <v>2138835</v>
      </c>
      <c r="G94" s="304" t="s">
        <v>353</v>
      </c>
      <c r="H94" s="307" t="s">
        <v>285</v>
      </c>
      <c r="I94" s="330" t="s">
        <v>278</v>
      </c>
      <c r="J94" s="364">
        <v>46.4</v>
      </c>
      <c r="K94" s="357">
        <v>0</v>
      </c>
      <c r="L94" s="357">
        <v>46.4</v>
      </c>
      <c r="M94" s="356">
        <v>111</v>
      </c>
      <c r="N94" s="357">
        <v>14601352</v>
      </c>
      <c r="O94" s="356"/>
      <c r="P94" s="356">
        <v>14601352</v>
      </c>
      <c r="Q94" s="357" t="s">
        <v>814</v>
      </c>
      <c r="R94" s="357">
        <v>0</v>
      </c>
      <c r="S94" s="357">
        <v>0</v>
      </c>
    </row>
    <row r="95" spans="1:19" ht="70.5" customHeight="1" x14ac:dyDescent="0.25">
      <c r="A95" s="305" t="s">
        <v>355</v>
      </c>
      <c r="B95" s="306">
        <v>71220089</v>
      </c>
      <c r="C95" s="303" t="s">
        <v>296</v>
      </c>
      <c r="D95" s="303" t="s">
        <v>1307</v>
      </c>
      <c r="E95" s="306" t="s">
        <v>1101</v>
      </c>
      <c r="F95" s="306">
        <v>1467756</v>
      </c>
      <c r="G95" s="304" t="s">
        <v>1540</v>
      </c>
      <c r="H95" s="307" t="s">
        <v>338</v>
      </c>
      <c r="I95" s="330" t="s">
        <v>269</v>
      </c>
      <c r="J95" s="364">
        <v>0</v>
      </c>
      <c r="K95" s="357">
        <v>7</v>
      </c>
      <c r="L95" s="357">
        <v>7</v>
      </c>
      <c r="M95" s="356">
        <v>0</v>
      </c>
      <c r="N95" s="357">
        <v>0</v>
      </c>
      <c r="O95" s="356"/>
      <c r="P95" s="356">
        <v>0</v>
      </c>
      <c r="Q95" s="357" t="s">
        <v>814</v>
      </c>
      <c r="R95" s="357">
        <v>0</v>
      </c>
      <c r="S95" s="357">
        <v>0</v>
      </c>
    </row>
    <row r="96" spans="1:19" ht="70.5" customHeight="1" x14ac:dyDescent="0.25">
      <c r="A96" s="305" t="s">
        <v>355</v>
      </c>
      <c r="B96" s="306">
        <v>71220089</v>
      </c>
      <c r="C96" s="303" t="s">
        <v>296</v>
      </c>
      <c r="D96" s="303" t="s">
        <v>1307</v>
      </c>
      <c r="E96" s="306" t="s">
        <v>1101</v>
      </c>
      <c r="F96" s="306">
        <v>3152221</v>
      </c>
      <c r="G96" s="304" t="s">
        <v>1477</v>
      </c>
      <c r="H96" s="307" t="s">
        <v>298</v>
      </c>
      <c r="I96" s="330" t="s">
        <v>278</v>
      </c>
      <c r="J96" s="364">
        <v>41</v>
      </c>
      <c r="K96" s="357">
        <v>0</v>
      </c>
      <c r="L96" s="357">
        <v>41</v>
      </c>
      <c r="M96" s="356">
        <v>29</v>
      </c>
      <c r="N96" s="357">
        <v>18096000</v>
      </c>
      <c r="O96" s="356"/>
      <c r="P96" s="356">
        <v>18096000</v>
      </c>
      <c r="Q96" s="357" t="s">
        <v>814</v>
      </c>
      <c r="R96" s="357">
        <v>0</v>
      </c>
      <c r="S96" s="357">
        <v>0</v>
      </c>
    </row>
    <row r="97" spans="1:20" ht="70.5" customHeight="1" x14ac:dyDescent="0.25">
      <c r="A97" s="305" t="s">
        <v>468</v>
      </c>
      <c r="B97" s="306">
        <v>10898174</v>
      </c>
      <c r="C97" s="303" t="s">
        <v>324</v>
      </c>
      <c r="D97" s="303" t="s">
        <v>1308</v>
      </c>
      <c r="E97" s="306"/>
      <c r="F97" s="306">
        <v>5448456</v>
      </c>
      <c r="G97" s="304" t="s">
        <v>1160</v>
      </c>
      <c r="H97" s="307" t="s">
        <v>285</v>
      </c>
      <c r="I97" s="330" t="s">
        <v>278</v>
      </c>
      <c r="J97" s="364">
        <v>14.76</v>
      </c>
      <c r="K97" s="357">
        <v>0</v>
      </c>
      <c r="L97" s="357">
        <v>14.76</v>
      </c>
      <c r="M97" s="356">
        <v>37</v>
      </c>
      <c r="N97" s="357">
        <v>5138586</v>
      </c>
      <c r="O97" s="356"/>
      <c r="P97" s="356">
        <v>5138586</v>
      </c>
      <c r="Q97" s="357" t="s">
        <v>814</v>
      </c>
      <c r="R97" s="357">
        <v>0</v>
      </c>
      <c r="S97" s="357">
        <v>0</v>
      </c>
    </row>
    <row r="98" spans="1:20" ht="70.5" customHeight="1" x14ac:dyDescent="0.25">
      <c r="A98" s="305" t="s">
        <v>468</v>
      </c>
      <c r="B98" s="306">
        <v>10898174</v>
      </c>
      <c r="C98" s="303" t="s">
        <v>324</v>
      </c>
      <c r="D98" s="303" t="s">
        <v>1308</v>
      </c>
      <c r="E98" s="306"/>
      <c r="F98" s="306">
        <v>1979411</v>
      </c>
      <c r="G98" s="304" t="s">
        <v>1139</v>
      </c>
      <c r="H98" s="307" t="s">
        <v>290</v>
      </c>
      <c r="I98" s="330" t="s">
        <v>278</v>
      </c>
      <c r="J98" s="364">
        <v>32.74</v>
      </c>
      <c r="K98" s="357">
        <v>0</v>
      </c>
      <c r="L98" s="357">
        <v>32.74</v>
      </c>
      <c r="M98" s="356">
        <v>60</v>
      </c>
      <c r="N98" s="357">
        <v>14269782</v>
      </c>
      <c r="O98" s="356"/>
      <c r="P98" s="356">
        <v>14269782</v>
      </c>
      <c r="Q98" s="357" t="s">
        <v>814</v>
      </c>
      <c r="R98" s="357">
        <v>0</v>
      </c>
      <c r="S98" s="357">
        <v>0</v>
      </c>
    </row>
    <row r="99" spans="1:20" ht="70.5" customHeight="1" x14ac:dyDescent="0.25">
      <c r="A99" s="305" t="s">
        <v>357</v>
      </c>
      <c r="B99" s="306">
        <v>73632791</v>
      </c>
      <c r="C99" s="303" t="s">
        <v>340</v>
      </c>
      <c r="D99" s="303" t="s">
        <v>1310</v>
      </c>
      <c r="E99" s="306"/>
      <c r="F99" s="306">
        <v>3988103</v>
      </c>
      <c r="G99" s="304" t="s">
        <v>913</v>
      </c>
      <c r="H99" s="307" t="s">
        <v>285</v>
      </c>
      <c r="I99" s="330" t="s">
        <v>278</v>
      </c>
      <c r="J99" s="364">
        <v>20.399999999999999</v>
      </c>
      <c r="K99" s="357">
        <v>0</v>
      </c>
      <c r="L99" s="357">
        <v>20.399999999999999</v>
      </c>
      <c r="M99" s="356">
        <v>45</v>
      </c>
      <c r="N99" s="357">
        <v>9008245</v>
      </c>
      <c r="O99" s="356"/>
      <c r="P99" s="356">
        <v>9008245</v>
      </c>
      <c r="Q99" s="357">
        <v>1162000</v>
      </c>
      <c r="R99" s="357">
        <v>0</v>
      </c>
      <c r="S99" s="357">
        <v>1162000</v>
      </c>
    </row>
    <row r="100" spans="1:20" ht="70.5" customHeight="1" x14ac:dyDescent="0.25">
      <c r="A100" s="305" t="s">
        <v>359</v>
      </c>
      <c r="B100" s="306">
        <v>60254050</v>
      </c>
      <c r="C100" s="303" t="s">
        <v>324</v>
      </c>
      <c r="D100" s="303" t="s">
        <v>1311</v>
      </c>
      <c r="E100" s="306"/>
      <c r="F100" s="306">
        <v>1526260</v>
      </c>
      <c r="G100" s="304" t="s">
        <v>1478</v>
      </c>
      <c r="H100" s="307" t="s">
        <v>325</v>
      </c>
      <c r="I100" s="330" t="s">
        <v>300</v>
      </c>
      <c r="J100" s="364">
        <v>5.09</v>
      </c>
      <c r="K100" s="357">
        <v>0</v>
      </c>
      <c r="L100" s="357">
        <v>5.09</v>
      </c>
      <c r="M100" s="356">
        <v>0</v>
      </c>
      <c r="N100" s="357">
        <v>3106058</v>
      </c>
      <c r="O100" s="356"/>
      <c r="P100" s="356">
        <v>3106058</v>
      </c>
      <c r="Q100" s="357" t="s">
        <v>814</v>
      </c>
      <c r="R100" s="357">
        <v>0</v>
      </c>
      <c r="S100" s="357">
        <v>0</v>
      </c>
    </row>
    <row r="101" spans="1:20" ht="70.5" customHeight="1" x14ac:dyDescent="0.25">
      <c r="A101" s="305" t="s">
        <v>469</v>
      </c>
      <c r="B101" s="306">
        <v>10808108</v>
      </c>
      <c r="C101" s="303" t="s">
        <v>324</v>
      </c>
      <c r="D101" s="303" t="s">
        <v>1312</v>
      </c>
      <c r="E101" s="306"/>
      <c r="F101" s="306">
        <v>8425917</v>
      </c>
      <c r="G101" s="304" t="s">
        <v>469</v>
      </c>
      <c r="H101" s="307" t="s">
        <v>290</v>
      </c>
      <c r="I101" s="330" t="s">
        <v>278</v>
      </c>
      <c r="J101" s="364">
        <v>25</v>
      </c>
      <c r="K101" s="357">
        <v>0</v>
      </c>
      <c r="L101" s="357">
        <v>25</v>
      </c>
      <c r="M101" s="356">
        <v>34</v>
      </c>
      <c r="N101" s="357">
        <v>8980968</v>
      </c>
      <c r="O101" s="356"/>
      <c r="P101" s="356">
        <v>8980968</v>
      </c>
      <c r="Q101" s="357" t="s">
        <v>814</v>
      </c>
      <c r="R101" s="357">
        <v>0</v>
      </c>
      <c r="S101" s="357">
        <v>0</v>
      </c>
    </row>
    <row r="102" spans="1:20" ht="70.5" customHeight="1" x14ac:dyDescent="0.25">
      <c r="A102" s="305" t="s">
        <v>469</v>
      </c>
      <c r="B102" s="306">
        <v>10808108</v>
      </c>
      <c r="C102" s="303" t="s">
        <v>324</v>
      </c>
      <c r="D102" s="303" t="s">
        <v>1312</v>
      </c>
      <c r="E102" s="306"/>
      <c r="F102" s="306">
        <v>4193951</v>
      </c>
      <c r="G102" s="304" t="s">
        <v>469</v>
      </c>
      <c r="H102" s="307" t="s">
        <v>285</v>
      </c>
      <c r="I102" s="330" t="s">
        <v>278</v>
      </c>
      <c r="J102" s="364">
        <v>86</v>
      </c>
      <c r="K102" s="357">
        <v>0</v>
      </c>
      <c r="L102" s="357">
        <v>86</v>
      </c>
      <c r="M102" s="356">
        <v>166</v>
      </c>
      <c r="N102" s="357">
        <v>22449604</v>
      </c>
      <c r="O102" s="356"/>
      <c r="P102" s="356">
        <v>22449604</v>
      </c>
      <c r="Q102" s="357" t="s">
        <v>814</v>
      </c>
      <c r="R102" s="357">
        <v>0</v>
      </c>
      <c r="S102" s="357">
        <v>0</v>
      </c>
    </row>
    <row r="103" spans="1:20" ht="70.5" customHeight="1" x14ac:dyDescent="0.25">
      <c r="A103" s="305" t="s">
        <v>361</v>
      </c>
      <c r="B103" s="306">
        <v>26586100</v>
      </c>
      <c r="C103" s="303" t="s">
        <v>288</v>
      </c>
      <c r="D103" s="303" t="s">
        <v>1313</v>
      </c>
      <c r="E103" s="306" t="s">
        <v>1118</v>
      </c>
      <c r="F103" s="306">
        <v>9397048</v>
      </c>
      <c r="G103" s="304" t="s">
        <v>361</v>
      </c>
      <c r="H103" s="307" t="s">
        <v>268</v>
      </c>
      <c r="I103" s="330" t="s">
        <v>300</v>
      </c>
      <c r="J103" s="364">
        <v>0.97</v>
      </c>
      <c r="K103" s="357">
        <v>0</v>
      </c>
      <c r="L103" s="357">
        <v>0.97</v>
      </c>
      <c r="M103" s="356">
        <v>0</v>
      </c>
      <c r="N103" s="357">
        <v>0</v>
      </c>
      <c r="O103" s="356"/>
      <c r="P103" s="356">
        <v>0</v>
      </c>
      <c r="Q103" s="357" t="s">
        <v>814</v>
      </c>
      <c r="R103" s="357">
        <v>0</v>
      </c>
      <c r="S103" s="357">
        <v>0</v>
      </c>
    </row>
    <row r="104" spans="1:20" ht="70.5" customHeight="1" x14ac:dyDescent="0.25">
      <c r="A104" s="305" t="s">
        <v>361</v>
      </c>
      <c r="B104" s="306">
        <v>26586100</v>
      </c>
      <c r="C104" s="303" t="s">
        <v>288</v>
      </c>
      <c r="D104" s="303" t="s">
        <v>1313</v>
      </c>
      <c r="E104" s="306"/>
      <c r="F104" s="306">
        <v>7890129</v>
      </c>
      <c r="G104" s="304" t="s">
        <v>1479</v>
      </c>
      <c r="H104" s="307" t="s">
        <v>343</v>
      </c>
      <c r="I104" s="330" t="s">
        <v>294</v>
      </c>
      <c r="J104" s="364">
        <v>1.6</v>
      </c>
      <c r="K104" s="357">
        <v>0</v>
      </c>
      <c r="L104" s="357">
        <v>1.6</v>
      </c>
      <c r="M104" s="356">
        <v>0</v>
      </c>
      <c r="N104" s="357">
        <v>1341757</v>
      </c>
      <c r="O104" s="356"/>
      <c r="P104" s="356">
        <v>1341757</v>
      </c>
      <c r="Q104" s="357" t="s">
        <v>814</v>
      </c>
      <c r="R104" s="357">
        <v>0</v>
      </c>
      <c r="S104" s="357">
        <v>0</v>
      </c>
    </row>
    <row r="105" spans="1:20" ht="70.5" customHeight="1" x14ac:dyDescent="0.25">
      <c r="A105" s="305" t="s">
        <v>197</v>
      </c>
      <c r="B105" s="306">
        <v>46749411</v>
      </c>
      <c r="C105" s="303" t="s">
        <v>318</v>
      </c>
      <c r="D105" s="303" t="s">
        <v>1314</v>
      </c>
      <c r="E105" s="306"/>
      <c r="F105" s="306">
        <v>3596108</v>
      </c>
      <c r="G105" s="304" t="s">
        <v>197</v>
      </c>
      <c r="H105" s="307" t="s">
        <v>365</v>
      </c>
      <c r="I105" s="330" t="s">
        <v>294</v>
      </c>
      <c r="J105" s="364">
        <v>0</v>
      </c>
      <c r="K105" s="357">
        <v>20</v>
      </c>
      <c r="L105" s="357">
        <v>20</v>
      </c>
      <c r="M105" s="356">
        <v>0</v>
      </c>
      <c r="N105" s="357">
        <v>0</v>
      </c>
      <c r="O105" s="356"/>
      <c r="P105" s="356">
        <v>0</v>
      </c>
      <c r="Q105" s="357">
        <v>1090000</v>
      </c>
      <c r="R105" s="357">
        <v>0</v>
      </c>
      <c r="S105" s="357">
        <v>1090000</v>
      </c>
    </row>
    <row r="106" spans="1:20" ht="70.5" customHeight="1" x14ac:dyDescent="0.25">
      <c r="A106" s="305" t="s">
        <v>197</v>
      </c>
      <c r="B106" s="306">
        <v>46749411</v>
      </c>
      <c r="C106" s="303" t="s">
        <v>318</v>
      </c>
      <c r="D106" s="303" t="s">
        <v>1314</v>
      </c>
      <c r="E106" s="306" t="s">
        <v>1413</v>
      </c>
      <c r="F106" s="306">
        <v>8208204</v>
      </c>
      <c r="G106" s="304" t="s">
        <v>197</v>
      </c>
      <c r="H106" s="307" t="s">
        <v>343</v>
      </c>
      <c r="I106" s="330" t="s">
        <v>300</v>
      </c>
      <c r="J106" s="364">
        <v>0</v>
      </c>
      <c r="K106" s="357">
        <v>0.5</v>
      </c>
      <c r="L106" s="357">
        <v>0.5</v>
      </c>
      <c r="M106" s="356">
        <v>0</v>
      </c>
      <c r="N106" s="357">
        <v>0</v>
      </c>
      <c r="O106" s="356"/>
      <c r="P106" s="356">
        <v>0</v>
      </c>
      <c r="Q106" s="357">
        <v>1284000</v>
      </c>
      <c r="R106" s="357">
        <v>0</v>
      </c>
      <c r="S106" s="357">
        <v>1284000</v>
      </c>
      <c r="T106" t="s">
        <v>1425</v>
      </c>
    </row>
    <row r="107" spans="1:20" ht="70.5" customHeight="1" x14ac:dyDescent="0.25">
      <c r="A107" s="305" t="s">
        <v>197</v>
      </c>
      <c r="B107" s="306">
        <v>46749411</v>
      </c>
      <c r="C107" s="303" t="s">
        <v>318</v>
      </c>
      <c r="D107" s="303" t="s">
        <v>1314</v>
      </c>
      <c r="E107" s="306"/>
      <c r="F107" s="306">
        <v>5563434</v>
      </c>
      <c r="G107" s="304" t="s">
        <v>197</v>
      </c>
      <c r="H107" s="307" t="s">
        <v>338</v>
      </c>
      <c r="I107" s="330" t="s">
        <v>269</v>
      </c>
      <c r="J107" s="364">
        <v>0</v>
      </c>
      <c r="K107" s="357">
        <v>4</v>
      </c>
      <c r="L107" s="357">
        <v>4</v>
      </c>
      <c r="M107" s="356">
        <v>0</v>
      </c>
      <c r="N107" s="357">
        <v>0</v>
      </c>
      <c r="O107" s="356"/>
      <c r="P107" s="356">
        <v>0</v>
      </c>
      <c r="Q107" s="357">
        <v>365000</v>
      </c>
      <c r="R107" s="357">
        <v>0</v>
      </c>
      <c r="S107" s="357">
        <v>365000</v>
      </c>
    </row>
    <row r="108" spans="1:20" ht="70.5" customHeight="1" x14ac:dyDescent="0.25">
      <c r="A108" s="305" t="s">
        <v>197</v>
      </c>
      <c r="B108" s="306">
        <v>46749411</v>
      </c>
      <c r="C108" s="303" t="s">
        <v>318</v>
      </c>
      <c r="D108" s="303" t="s">
        <v>1314</v>
      </c>
      <c r="E108" s="306"/>
      <c r="F108" s="306">
        <v>3865693</v>
      </c>
      <c r="G108" s="304" t="s">
        <v>875</v>
      </c>
      <c r="H108" s="307" t="s">
        <v>337</v>
      </c>
      <c r="I108" s="330" t="s">
        <v>278</v>
      </c>
      <c r="J108" s="364">
        <v>8.5</v>
      </c>
      <c r="K108" s="357">
        <v>0</v>
      </c>
      <c r="L108" s="357">
        <v>8.5</v>
      </c>
      <c r="M108" s="356">
        <v>32</v>
      </c>
      <c r="N108" s="357">
        <v>5967157</v>
      </c>
      <c r="O108" s="356"/>
      <c r="P108" s="356">
        <v>5967157</v>
      </c>
      <c r="Q108" s="357">
        <v>549000</v>
      </c>
      <c r="R108" s="357">
        <v>0</v>
      </c>
      <c r="S108" s="357">
        <v>549000</v>
      </c>
    </row>
    <row r="109" spans="1:20" ht="70.5" customHeight="1" x14ac:dyDescent="0.25">
      <c r="A109" s="305" t="s">
        <v>197</v>
      </c>
      <c r="B109" s="306">
        <v>46749411</v>
      </c>
      <c r="C109" s="303" t="s">
        <v>318</v>
      </c>
      <c r="D109" s="303" t="s">
        <v>1314</v>
      </c>
      <c r="E109" s="306" t="s">
        <v>1413</v>
      </c>
      <c r="F109" s="306">
        <v>1226991</v>
      </c>
      <c r="G109" s="304" t="s">
        <v>1480</v>
      </c>
      <c r="H109" s="307" t="s">
        <v>290</v>
      </c>
      <c r="I109" s="330" t="s">
        <v>278</v>
      </c>
      <c r="J109" s="364">
        <v>9</v>
      </c>
      <c r="K109" s="357">
        <v>0</v>
      </c>
      <c r="L109" s="357">
        <v>9</v>
      </c>
      <c r="M109" s="356">
        <v>9</v>
      </c>
      <c r="N109" s="357">
        <v>5768617</v>
      </c>
      <c r="O109" s="356"/>
      <c r="P109" s="356">
        <v>5768617</v>
      </c>
      <c r="Q109" s="357">
        <v>565000</v>
      </c>
      <c r="R109" s="357">
        <v>0</v>
      </c>
      <c r="S109" s="357">
        <v>565000</v>
      </c>
    </row>
    <row r="110" spans="1:20" ht="70.5" customHeight="1" x14ac:dyDescent="0.25">
      <c r="A110" s="305" t="s">
        <v>197</v>
      </c>
      <c r="B110" s="306">
        <v>46749411</v>
      </c>
      <c r="C110" s="303" t="s">
        <v>318</v>
      </c>
      <c r="D110" s="303" t="s">
        <v>1314</v>
      </c>
      <c r="E110" s="306"/>
      <c r="F110" s="306">
        <v>7943498</v>
      </c>
      <c r="G110" s="304" t="s">
        <v>1541</v>
      </c>
      <c r="H110" s="307" t="s">
        <v>1418</v>
      </c>
      <c r="I110" s="330" t="s">
        <v>300</v>
      </c>
      <c r="J110" s="364">
        <v>0</v>
      </c>
      <c r="K110" s="357">
        <v>23</v>
      </c>
      <c r="L110" s="357">
        <v>23</v>
      </c>
      <c r="M110" s="356">
        <v>0</v>
      </c>
      <c r="N110" s="357">
        <v>0</v>
      </c>
      <c r="O110" s="356"/>
      <c r="P110" s="356">
        <v>0</v>
      </c>
      <c r="Q110" s="357" t="s">
        <v>814</v>
      </c>
      <c r="R110" s="357">
        <v>0</v>
      </c>
      <c r="S110" s="357">
        <v>0</v>
      </c>
      <c r="T110" t="s">
        <v>1426</v>
      </c>
    </row>
    <row r="111" spans="1:20" ht="70.5" customHeight="1" x14ac:dyDescent="0.25">
      <c r="A111" s="305" t="s">
        <v>366</v>
      </c>
      <c r="B111" s="306">
        <v>22871080</v>
      </c>
      <c r="C111" s="303" t="s">
        <v>288</v>
      </c>
      <c r="D111" s="366" t="s">
        <v>9</v>
      </c>
      <c r="E111" s="306" t="s">
        <v>1413</v>
      </c>
      <c r="F111" s="306">
        <v>8899363</v>
      </c>
      <c r="G111" s="304" t="s">
        <v>1542</v>
      </c>
      <c r="H111" s="307" t="s">
        <v>343</v>
      </c>
      <c r="I111" s="330" t="s">
        <v>269</v>
      </c>
      <c r="J111" s="364">
        <v>0</v>
      </c>
      <c r="K111" s="357">
        <v>5</v>
      </c>
      <c r="L111" s="357">
        <v>5</v>
      </c>
      <c r="M111" s="356">
        <v>0</v>
      </c>
      <c r="N111" s="357">
        <v>0</v>
      </c>
      <c r="O111" s="356"/>
      <c r="P111" s="356">
        <v>0</v>
      </c>
      <c r="Q111" s="357">
        <v>436000</v>
      </c>
      <c r="R111" s="357">
        <v>0</v>
      </c>
      <c r="S111" s="357">
        <v>436000</v>
      </c>
    </row>
    <row r="112" spans="1:20" ht="70.5" customHeight="1" x14ac:dyDescent="0.25">
      <c r="A112" s="305" t="s">
        <v>366</v>
      </c>
      <c r="B112" s="306">
        <v>22871080</v>
      </c>
      <c r="C112" s="303" t="s">
        <v>288</v>
      </c>
      <c r="D112" s="366" t="s">
        <v>9</v>
      </c>
      <c r="E112" s="306"/>
      <c r="F112" s="306">
        <v>6265472</v>
      </c>
      <c r="G112" s="304" t="s">
        <v>1199</v>
      </c>
      <c r="H112" s="307" t="s">
        <v>338</v>
      </c>
      <c r="I112" s="330" t="s">
        <v>269</v>
      </c>
      <c r="J112" s="364">
        <v>0</v>
      </c>
      <c r="K112" s="357">
        <v>6</v>
      </c>
      <c r="L112" s="357">
        <v>6</v>
      </c>
      <c r="M112" s="356">
        <v>0</v>
      </c>
      <c r="N112" s="357">
        <v>0</v>
      </c>
      <c r="O112" s="356"/>
      <c r="P112" s="356">
        <v>0</v>
      </c>
      <c r="Q112" s="357">
        <v>547000</v>
      </c>
      <c r="R112" s="357">
        <v>0</v>
      </c>
      <c r="S112" s="357">
        <v>547000</v>
      </c>
    </row>
    <row r="113" spans="1:19" ht="70.5" customHeight="1" x14ac:dyDescent="0.25">
      <c r="A113" s="305" t="s">
        <v>215</v>
      </c>
      <c r="B113" s="306">
        <v>49295101</v>
      </c>
      <c r="C113" s="303" t="s">
        <v>288</v>
      </c>
      <c r="D113" s="303" t="s">
        <v>1316</v>
      </c>
      <c r="E113" s="306"/>
      <c r="F113" s="306">
        <v>4661168</v>
      </c>
      <c r="G113" s="304" t="s">
        <v>1543</v>
      </c>
      <c r="H113" s="307" t="s">
        <v>338</v>
      </c>
      <c r="I113" s="330" t="s">
        <v>269</v>
      </c>
      <c r="J113" s="364">
        <v>0</v>
      </c>
      <c r="K113" s="357">
        <v>6</v>
      </c>
      <c r="L113" s="357">
        <v>6</v>
      </c>
      <c r="M113" s="356">
        <v>0</v>
      </c>
      <c r="N113" s="357">
        <v>0</v>
      </c>
      <c r="O113" s="356"/>
      <c r="P113" s="356">
        <v>0</v>
      </c>
      <c r="Q113" s="357">
        <v>500000</v>
      </c>
      <c r="R113" s="357">
        <v>0</v>
      </c>
      <c r="S113" s="357">
        <v>500000</v>
      </c>
    </row>
    <row r="114" spans="1:19" ht="70.5" customHeight="1" x14ac:dyDescent="0.25">
      <c r="A114" s="305" t="s">
        <v>215</v>
      </c>
      <c r="B114" s="306">
        <v>49295101</v>
      </c>
      <c r="C114" s="303" t="s">
        <v>288</v>
      </c>
      <c r="D114" s="303" t="s">
        <v>1316</v>
      </c>
      <c r="E114" s="306" t="s">
        <v>1413</v>
      </c>
      <c r="F114" s="306">
        <v>9909982</v>
      </c>
      <c r="G114" s="304" t="s">
        <v>1543</v>
      </c>
      <c r="H114" s="307" t="s">
        <v>343</v>
      </c>
      <c r="I114" s="330" t="s">
        <v>300</v>
      </c>
      <c r="J114" s="364">
        <v>0</v>
      </c>
      <c r="K114" s="357">
        <v>10</v>
      </c>
      <c r="L114" s="357">
        <v>10</v>
      </c>
      <c r="M114" s="356">
        <v>0</v>
      </c>
      <c r="N114" s="357">
        <v>0</v>
      </c>
      <c r="O114" s="356"/>
      <c r="P114" s="356">
        <v>0</v>
      </c>
      <c r="Q114" s="357">
        <v>894000</v>
      </c>
      <c r="R114" s="357">
        <v>0</v>
      </c>
      <c r="S114" s="357">
        <v>894000</v>
      </c>
    </row>
    <row r="115" spans="1:19" ht="70.5" customHeight="1" x14ac:dyDescent="0.25">
      <c r="A115" s="305" t="s">
        <v>215</v>
      </c>
      <c r="B115" s="306">
        <v>49295101</v>
      </c>
      <c r="C115" s="303" t="s">
        <v>288</v>
      </c>
      <c r="D115" s="303" t="s">
        <v>1316</v>
      </c>
      <c r="E115" s="306"/>
      <c r="F115" s="306">
        <v>9314906</v>
      </c>
      <c r="G115" s="304" t="s">
        <v>1175</v>
      </c>
      <c r="H115" s="307" t="s">
        <v>297</v>
      </c>
      <c r="I115" s="330" t="s">
        <v>269</v>
      </c>
      <c r="J115" s="364">
        <v>2.2999999999999998</v>
      </c>
      <c r="K115" s="357">
        <v>0</v>
      </c>
      <c r="L115" s="357">
        <v>2.2999999999999998</v>
      </c>
      <c r="M115" s="356">
        <v>0</v>
      </c>
      <c r="N115" s="357">
        <v>1309068</v>
      </c>
      <c r="O115" s="356"/>
      <c r="P115" s="356">
        <v>1309068</v>
      </c>
      <c r="Q115" s="357">
        <v>114000</v>
      </c>
      <c r="R115" s="357">
        <v>0</v>
      </c>
      <c r="S115" s="357">
        <v>114000</v>
      </c>
    </row>
    <row r="116" spans="1:19" ht="70.5" customHeight="1" x14ac:dyDescent="0.25">
      <c r="A116" s="305" t="s">
        <v>215</v>
      </c>
      <c r="B116" s="306">
        <v>49295101</v>
      </c>
      <c r="C116" s="303" t="s">
        <v>288</v>
      </c>
      <c r="D116" s="303" t="s">
        <v>1316</v>
      </c>
      <c r="E116" s="306"/>
      <c r="F116" s="306">
        <v>7471836</v>
      </c>
      <c r="G116" s="304" t="s">
        <v>1543</v>
      </c>
      <c r="H116" s="307" t="s">
        <v>365</v>
      </c>
      <c r="I116" s="330" t="s">
        <v>294</v>
      </c>
      <c r="J116" s="364">
        <v>0</v>
      </c>
      <c r="K116" s="357">
        <v>5</v>
      </c>
      <c r="L116" s="357">
        <v>5</v>
      </c>
      <c r="M116" s="356">
        <v>0</v>
      </c>
      <c r="N116" s="357">
        <v>0</v>
      </c>
      <c r="O116" s="356"/>
      <c r="P116" s="356">
        <v>0</v>
      </c>
      <c r="Q116" s="357">
        <v>323000</v>
      </c>
      <c r="R116" s="357">
        <v>0</v>
      </c>
      <c r="S116" s="357">
        <v>323000</v>
      </c>
    </row>
    <row r="117" spans="1:19" ht="70.5" customHeight="1" x14ac:dyDescent="0.25">
      <c r="A117" s="305" t="s">
        <v>929</v>
      </c>
      <c r="B117" s="306" t="s">
        <v>1259</v>
      </c>
      <c r="C117" s="303" t="s">
        <v>374</v>
      </c>
      <c r="D117" s="303" t="s">
        <v>1317</v>
      </c>
      <c r="E117" s="306"/>
      <c r="F117" s="306">
        <v>4263940</v>
      </c>
      <c r="G117" s="304" t="s">
        <v>1481</v>
      </c>
      <c r="H117" s="307" t="s">
        <v>321</v>
      </c>
      <c r="I117" s="330" t="s">
        <v>294</v>
      </c>
      <c r="J117" s="364">
        <v>4.5</v>
      </c>
      <c r="K117" s="357">
        <v>0</v>
      </c>
      <c r="L117" s="357">
        <v>4.5</v>
      </c>
      <c r="M117" s="356">
        <v>0</v>
      </c>
      <c r="N117" s="357">
        <v>2285086</v>
      </c>
      <c r="O117" s="356"/>
      <c r="P117" s="356">
        <v>2285086</v>
      </c>
      <c r="Q117" s="357">
        <v>203000</v>
      </c>
      <c r="R117" s="357">
        <v>0</v>
      </c>
      <c r="S117" s="357">
        <v>203000</v>
      </c>
    </row>
    <row r="118" spans="1:19" ht="70.5" customHeight="1" x14ac:dyDescent="0.25">
      <c r="A118" s="305" t="s">
        <v>92</v>
      </c>
      <c r="B118" s="306">
        <v>28700210</v>
      </c>
      <c r="C118" s="303" t="s">
        <v>318</v>
      </c>
      <c r="D118" s="303" t="s">
        <v>1318</v>
      </c>
      <c r="E118" s="306"/>
      <c r="F118" s="306">
        <v>9543067</v>
      </c>
      <c r="G118" s="304" t="s">
        <v>1482</v>
      </c>
      <c r="H118" s="307" t="s">
        <v>268</v>
      </c>
      <c r="I118" s="330" t="s">
        <v>300</v>
      </c>
      <c r="J118" s="364">
        <v>2.75</v>
      </c>
      <c r="K118" s="357">
        <v>0</v>
      </c>
      <c r="L118" s="357">
        <v>2.75</v>
      </c>
      <c r="M118" s="356">
        <v>0</v>
      </c>
      <c r="N118" s="357">
        <v>2043532</v>
      </c>
      <c r="O118" s="356"/>
      <c r="P118" s="356">
        <v>2043532</v>
      </c>
      <c r="Q118" s="357">
        <v>197000</v>
      </c>
      <c r="R118" s="357">
        <v>0</v>
      </c>
      <c r="S118" s="357">
        <v>197000</v>
      </c>
    </row>
    <row r="119" spans="1:19" ht="70.5" customHeight="1" x14ac:dyDescent="0.25">
      <c r="A119" s="305" t="s">
        <v>92</v>
      </c>
      <c r="B119" s="306">
        <v>28700210</v>
      </c>
      <c r="C119" s="303" t="s">
        <v>318</v>
      </c>
      <c r="D119" s="303" t="s">
        <v>1318</v>
      </c>
      <c r="E119" s="306"/>
      <c r="F119" s="306">
        <v>3069495</v>
      </c>
      <c r="G119" s="304" t="s">
        <v>92</v>
      </c>
      <c r="H119" s="307" t="s">
        <v>283</v>
      </c>
      <c r="I119" s="330" t="s">
        <v>278</v>
      </c>
      <c r="J119" s="364">
        <v>6</v>
      </c>
      <c r="K119" s="357">
        <v>0</v>
      </c>
      <c r="L119" s="357">
        <v>6</v>
      </c>
      <c r="M119" s="356">
        <v>7</v>
      </c>
      <c r="N119" s="357">
        <v>3926175</v>
      </c>
      <c r="O119" s="356"/>
      <c r="P119" s="356">
        <v>3926175</v>
      </c>
      <c r="Q119" s="357">
        <v>388000</v>
      </c>
      <c r="R119" s="357">
        <v>0</v>
      </c>
      <c r="S119" s="357">
        <v>388000</v>
      </c>
    </row>
    <row r="120" spans="1:19" ht="70.5" customHeight="1" x14ac:dyDescent="0.25">
      <c r="A120" s="305" t="s">
        <v>92</v>
      </c>
      <c r="B120" s="306">
        <v>28700210</v>
      </c>
      <c r="C120" s="303" t="s">
        <v>318</v>
      </c>
      <c r="D120" s="303" t="s">
        <v>1318</v>
      </c>
      <c r="E120" s="306"/>
      <c r="F120" s="306">
        <v>4343228</v>
      </c>
      <c r="G120" s="304" t="s">
        <v>1482</v>
      </c>
      <c r="H120" s="307" t="s">
        <v>283</v>
      </c>
      <c r="I120" s="330" t="s">
        <v>294</v>
      </c>
      <c r="J120" s="364">
        <v>10</v>
      </c>
      <c r="K120" s="357">
        <v>0</v>
      </c>
      <c r="L120" s="357">
        <v>10</v>
      </c>
      <c r="M120" s="356">
        <v>0</v>
      </c>
      <c r="N120" s="357">
        <v>6345837</v>
      </c>
      <c r="O120" s="356"/>
      <c r="P120" s="356">
        <v>6345837</v>
      </c>
      <c r="Q120" s="357">
        <v>646000</v>
      </c>
      <c r="R120" s="357">
        <v>0</v>
      </c>
      <c r="S120" s="357">
        <v>646000</v>
      </c>
    </row>
    <row r="121" spans="1:19" ht="70.5" customHeight="1" x14ac:dyDescent="0.25">
      <c r="A121" s="305" t="s">
        <v>169</v>
      </c>
      <c r="B121" s="306">
        <v>70226148</v>
      </c>
      <c r="C121" s="303" t="s">
        <v>340</v>
      </c>
      <c r="D121" s="303" t="s">
        <v>1319</v>
      </c>
      <c r="E121" s="306"/>
      <c r="F121" s="306">
        <v>2925974</v>
      </c>
      <c r="G121" s="304" t="s">
        <v>1134</v>
      </c>
      <c r="H121" s="307" t="s">
        <v>314</v>
      </c>
      <c r="I121" s="330" t="s">
        <v>300</v>
      </c>
      <c r="J121" s="364">
        <v>8</v>
      </c>
      <c r="K121" s="357">
        <v>1</v>
      </c>
      <c r="L121" s="357">
        <v>9</v>
      </c>
      <c r="M121" s="356">
        <v>0</v>
      </c>
      <c r="N121" s="357">
        <v>6224956</v>
      </c>
      <c r="O121" s="356"/>
      <c r="P121" s="356">
        <v>6224956</v>
      </c>
      <c r="Q121" s="357">
        <v>580000</v>
      </c>
      <c r="R121" s="357">
        <v>0</v>
      </c>
      <c r="S121" s="357">
        <v>580000</v>
      </c>
    </row>
    <row r="122" spans="1:19" ht="70.5" customHeight="1" x14ac:dyDescent="0.25">
      <c r="A122" s="305" t="s">
        <v>169</v>
      </c>
      <c r="B122" s="309">
        <v>70226148</v>
      </c>
      <c r="C122" s="303" t="s">
        <v>340</v>
      </c>
      <c r="D122" s="303" t="s">
        <v>1319</v>
      </c>
      <c r="E122" s="309"/>
      <c r="F122" s="306">
        <v>6790491</v>
      </c>
      <c r="G122" s="304" t="s">
        <v>1483</v>
      </c>
      <c r="H122" s="307" t="s">
        <v>330</v>
      </c>
      <c r="I122" s="330" t="s">
        <v>300</v>
      </c>
      <c r="J122" s="364">
        <v>4</v>
      </c>
      <c r="K122" s="357">
        <v>1.5</v>
      </c>
      <c r="L122" s="357">
        <v>5.5</v>
      </c>
      <c r="M122" s="356">
        <v>0</v>
      </c>
      <c r="N122" s="357">
        <v>3210293</v>
      </c>
      <c r="O122" s="356"/>
      <c r="P122" s="356">
        <v>3210293</v>
      </c>
      <c r="Q122" s="357">
        <v>309000</v>
      </c>
      <c r="R122" s="357">
        <v>0</v>
      </c>
      <c r="S122" s="357">
        <v>309000</v>
      </c>
    </row>
    <row r="123" spans="1:19" ht="70.5" customHeight="1" x14ac:dyDescent="0.25">
      <c r="A123" s="305" t="s">
        <v>169</v>
      </c>
      <c r="B123" s="306">
        <v>70226148</v>
      </c>
      <c r="C123" s="303" t="s">
        <v>340</v>
      </c>
      <c r="D123" s="303" t="s">
        <v>1319</v>
      </c>
      <c r="E123" s="306"/>
      <c r="F123" s="306">
        <v>1297986</v>
      </c>
      <c r="G123" s="304" t="s">
        <v>1099</v>
      </c>
      <c r="H123" s="307" t="s">
        <v>364</v>
      </c>
      <c r="I123" s="330" t="s">
        <v>278</v>
      </c>
      <c r="J123" s="364">
        <v>12.25</v>
      </c>
      <c r="K123" s="357">
        <v>0</v>
      </c>
      <c r="L123" s="357">
        <v>12.25</v>
      </c>
      <c r="M123" s="356">
        <v>66</v>
      </c>
      <c r="N123" s="357">
        <v>8876148</v>
      </c>
      <c r="O123" s="356"/>
      <c r="P123" s="356">
        <v>8876148</v>
      </c>
      <c r="Q123" s="357">
        <v>1100000</v>
      </c>
      <c r="R123" s="357">
        <v>0</v>
      </c>
      <c r="S123" s="357">
        <v>1100000</v>
      </c>
    </row>
    <row r="124" spans="1:19" ht="70.5" customHeight="1" x14ac:dyDescent="0.25">
      <c r="A124" s="305" t="s">
        <v>50</v>
      </c>
      <c r="B124" s="306">
        <v>26520699</v>
      </c>
      <c r="C124" s="303" t="s">
        <v>340</v>
      </c>
      <c r="D124" s="303" t="s">
        <v>1320</v>
      </c>
      <c r="E124" s="306"/>
      <c r="F124" s="306">
        <v>3146268</v>
      </c>
      <c r="G124" s="304" t="s">
        <v>1484</v>
      </c>
      <c r="H124" s="307" t="s">
        <v>364</v>
      </c>
      <c r="I124" s="330" t="s">
        <v>278</v>
      </c>
      <c r="J124" s="364">
        <v>4.5</v>
      </c>
      <c r="K124" s="357">
        <v>0</v>
      </c>
      <c r="L124" s="357">
        <v>4.5</v>
      </c>
      <c r="M124" s="356">
        <v>17</v>
      </c>
      <c r="N124" s="357">
        <v>2749808</v>
      </c>
      <c r="O124" s="356"/>
      <c r="P124" s="356">
        <v>2749808</v>
      </c>
      <c r="Q124" s="357">
        <v>410000</v>
      </c>
      <c r="R124" s="357">
        <v>0</v>
      </c>
      <c r="S124" s="357">
        <v>410000</v>
      </c>
    </row>
    <row r="125" spans="1:19" ht="70.5" customHeight="1" x14ac:dyDescent="0.25">
      <c r="A125" s="305" t="s">
        <v>50</v>
      </c>
      <c r="B125" s="306">
        <v>26520699</v>
      </c>
      <c r="C125" s="303" t="s">
        <v>340</v>
      </c>
      <c r="D125" s="303" t="s">
        <v>1320</v>
      </c>
      <c r="E125" s="306"/>
      <c r="F125" s="306">
        <v>9958898</v>
      </c>
      <c r="G125" s="304" t="s">
        <v>1485</v>
      </c>
      <c r="H125" s="307" t="s">
        <v>364</v>
      </c>
      <c r="I125" s="330" t="s">
        <v>278</v>
      </c>
      <c r="J125" s="364">
        <v>4.5</v>
      </c>
      <c r="K125" s="357">
        <v>0</v>
      </c>
      <c r="L125" s="357">
        <v>4.5</v>
      </c>
      <c r="M125" s="356">
        <v>17</v>
      </c>
      <c r="N125" s="357">
        <v>2856686</v>
      </c>
      <c r="O125" s="356"/>
      <c r="P125" s="356">
        <v>2856686</v>
      </c>
      <c r="Q125" s="357">
        <v>410000</v>
      </c>
      <c r="R125" s="357">
        <v>0</v>
      </c>
      <c r="S125" s="357">
        <v>410000</v>
      </c>
    </row>
    <row r="126" spans="1:19" ht="70.5" customHeight="1" x14ac:dyDescent="0.25">
      <c r="A126" s="305" t="s">
        <v>50</v>
      </c>
      <c r="B126" s="309">
        <v>26520699</v>
      </c>
      <c r="C126" s="303" t="s">
        <v>340</v>
      </c>
      <c r="D126" s="303" t="s">
        <v>1320</v>
      </c>
      <c r="E126" s="309"/>
      <c r="F126" s="306">
        <v>6940940</v>
      </c>
      <c r="G126" s="304" t="s">
        <v>1207</v>
      </c>
      <c r="H126" s="307" t="s">
        <v>285</v>
      </c>
      <c r="I126" s="330" t="s">
        <v>278</v>
      </c>
      <c r="J126" s="364">
        <v>11.25</v>
      </c>
      <c r="K126" s="357">
        <v>0</v>
      </c>
      <c r="L126" s="357">
        <v>11.25</v>
      </c>
      <c r="M126" s="356">
        <v>20</v>
      </c>
      <c r="N126" s="357">
        <v>3740949</v>
      </c>
      <c r="O126" s="356"/>
      <c r="P126" s="356">
        <v>3740949</v>
      </c>
      <c r="Q126" s="357">
        <v>500000</v>
      </c>
      <c r="R126" s="357">
        <v>0</v>
      </c>
      <c r="S126" s="357">
        <v>500000</v>
      </c>
    </row>
    <row r="127" spans="1:19" ht="70.5" customHeight="1" x14ac:dyDescent="0.25">
      <c r="A127" s="305" t="s">
        <v>490</v>
      </c>
      <c r="B127" s="309">
        <v>70828920</v>
      </c>
      <c r="C127" s="303" t="s">
        <v>340</v>
      </c>
      <c r="D127" s="303" t="s">
        <v>1321</v>
      </c>
      <c r="E127" s="309"/>
      <c r="F127" s="306">
        <v>5070480</v>
      </c>
      <c r="G127" s="304" t="s">
        <v>1182</v>
      </c>
      <c r="H127" s="307" t="s">
        <v>268</v>
      </c>
      <c r="I127" s="330" t="s">
        <v>269</v>
      </c>
      <c r="J127" s="364">
        <v>0.3</v>
      </c>
      <c r="K127" s="357">
        <v>0</v>
      </c>
      <c r="L127" s="357">
        <v>0.3</v>
      </c>
      <c r="M127" s="356">
        <v>0</v>
      </c>
      <c r="N127" s="357">
        <v>194940</v>
      </c>
      <c r="O127" s="356"/>
      <c r="P127" s="356">
        <v>194940</v>
      </c>
      <c r="Q127" s="357">
        <v>20000</v>
      </c>
      <c r="R127" s="357">
        <v>0</v>
      </c>
      <c r="S127" s="357">
        <v>20000</v>
      </c>
    </row>
    <row r="128" spans="1:19" ht="70.5" customHeight="1" x14ac:dyDescent="0.25">
      <c r="A128" s="305" t="s">
        <v>490</v>
      </c>
      <c r="B128" s="309">
        <v>70828920</v>
      </c>
      <c r="C128" s="303" t="s">
        <v>340</v>
      </c>
      <c r="D128" s="303" t="s">
        <v>1321</v>
      </c>
      <c r="E128" s="309"/>
      <c r="F128" s="306">
        <v>8501960</v>
      </c>
      <c r="G128" s="304" t="s">
        <v>1486</v>
      </c>
      <c r="H128" s="307" t="s">
        <v>330</v>
      </c>
      <c r="I128" s="330" t="s">
        <v>269</v>
      </c>
      <c r="J128" s="364">
        <v>1.8</v>
      </c>
      <c r="K128" s="357">
        <v>0</v>
      </c>
      <c r="L128" s="357">
        <v>1.8</v>
      </c>
      <c r="M128" s="356">
        <v>0</v>
      </c>
      <c r="N128" s="357">
        <v>1474200</v>
      </c>
      <c r="O128" s="356"/>
      <c r="P128" s="356">
        <v>1474200</v>
      </c>
      <c r="Q128" s="357">
        <v>164000</v>
      </c>
      <c r="R128" s="357">
        <v>0</v>
      </c>
      <c r="S128" s="357">
        <v>164000</v>
      </c>
    </row>
    <row r="129" spans="1:19" ht="70.5" customHeight="1" x14ac:dyDescent="0.25">
      <c r="A129" s="305" t="s">
        <v>490</v>
      </c>
      <c r="B129" s="309">
        <v>70828920</v>
      </c>
      <c r="C129" s="303" t="s">
        <v>340</v>
      </c>
      <c r="D129" s="303" t="s">
        <v>1321</v>
      </c>
      <c r="E129" s="309"/>
      <c r="F129" s="306">
        <v>1807508</v>
      </c>
      <c r="G129" s="304" t="s">
        <v>1112</v>
      </c>
      <c r="H129" s="307" t="s">
        <v>330</v>
      </c>
      <c r="I129" s="330" t="s">
        <v>300</v>
      </c>
      <c r="J129" s="364">
        <v>3</v>
      </c>
      <c r="K129" s="357">
        <v>0</v>
      </c>
      <c r="L129" s="357">
        <v>3</v>
      </c>
      <c r="M129" s="356">
        <v>0</v>
      </c>
      <c r="N129" s="357">
        <v>2457000</v>
      </c>
      <c r="O129" s="356"/>
      <c r="P129" s="356">
        <v>2457000</v>
      </c>
      <c r="Q129" s="357">
        <v>274000</v>
      </c>
      <c r="R129" s="357">
        <v>0</v>
      </c>
      <c r="S129" s="357">
        <v>274000</v>
      </c>
    </row>
    <row r="130" spans="1:19" ht="70.5" customHeight="1" x14ac:dyDescent="0.25">
      <c r="A130" s="305" t="s">
        <v>490</v>
      </c>
      <c r="B130" s="309">
        <v>70828920</v>
      </c>
      <c r="C130" s="303" t="s">
        <v>340</v>
      </c>
      <c r="D130" s="303" t="s">
        <v>1321</v>
      </c>
      <c r="E130" s="309"/>
      <c r="F130" s="306">
        <v>8696715</v>
      </c>
      <c r="G130" s="304" t="s">
        <v>1487</v>
      </c>
      <c r="H130" s="307" t="s">
        <v>330</v>
      </c>
      <c r="I130" s="330" t="s">
        <v>300</v>
      </c>
      <c r="J130" s="364">
        <v>6.2</v>
      </c>
      <c r="K130" s="357">
        <v>0</v>
      </c>
      <c r="L130" s="357">
        <v>6.2</v>
      </c>
      <c r="M130" s="356">
        <v>0</v>
      </c>
      <c r="N130" s="357">
        <v>5077800</v>
      </c>
      <c r="O130" s="356"/>
      <c r="P130" s="356">
        <v>5077800</v>
      </c>
      <c r="Q130" s="357">
        <v>549000</v>
      </c>
      <c r="R130" s="357">
        <v>0</v>
      </c>
      <c r="S130" s="357">
        <v>549000</v>
      </c>
    </row>
    <row r="131" spans="1:19" ht="70.5" customHeight="1" x14ac:dyDescent="0.25">
      <c r="A131" s="305" t="s">
        <v>940</v>
      </c>
      <c r="B131" s="309">
        <v>17710430</v>
      </c>
      <c r="C131" s="303" t="s">
        <v>340</v>
      </c>
      <c r="D131" s="303" t="s">
        <v>1322</v>
      </c>
      <c r="E131" s="309"/>
      <c r="F131" s="306">
        <v>4282428</v>
      </c>
      <c r="G131" s="304" t="s">
        <v>1263</v>
      </c>
      <c r="H131" s="307" t="s">
        <v>314</v>
      </c>
      <c r="I131" s="330" t="s">
        <v>300</v>
      </c>
      <c r="J131" s="364">
        <v>3</v>
      </c>
      <c r="K131" s="357">
        <v>0</v>
      </c>
      <c r="L131" s="357">
        <v>3</v>
      </c>
      <c r="M131" s="356">
        <v>0</v>
      </c>
      <c r="N131" s="357">
        <v>2248198</v>
      </c>
      <c r="O131" s="356"/>
      <c r="P131" s="356">
        <v>2248198</v>
      </c>
      <c r="Q131" s="357" t="s">
        <v>814</v>
      </c>
      <c r="R131" s="357">
        <v>0</v>
      </c>
      <c r="S131" s="357">
        <v>0</v>
      </c>
    </row>
    <row r="132" spans="1:19" ht="70.5" customHeight="1" x14ac:dyDescent="0.25">
      <c r="A132" s="305" t="s">
        <v>367</v>
      </c>
      <c r="B132" s="309">
        <v>70932522</v>
      </c>
      <c r="C132" s="303" t="s">
        <v>296</v>
      </c>
      <c r="D132" s="303" t="s">
        <v>1323</v>
      </c>
      <c r="E132" s="309" t="s">
        <v>1101</v>
      </c>
      <c r="F132" s="306">
        <v>6492623</v>
      </c>
      <c r="G132" s="304" t="s">
        <v>1164</v>
      </c>
      <c r="H132" s="307" t="s">
        <v>321</v>
      </c>
      <c r="I132" s="330" t="s">
        <v>294</v>
      </c>
      <c r="J132" s="364">
        <v>6</v>
      </c>
      <c r="K132" s="357">
        <v>0</v>
      </c>
      <c r="L132" s="357">
        <v>6</v>
      </c>
      <c r="M132" s="356">
        <v>0</v>
      </c>
      <c r="N132" s="357">
        <v>3960000</v>
      </c>
      <c r="O132" s="356"/>
      <c r="P132" s="356">
        <v>3960000</v>
      </c>
      <c r="Q132" s="357" t="s">
        <v>814</v>
      </c>
      <c r="R132" s="357">
        <v>0</v>
      </c>
      <c r="S132" s="357">
        <v>0</v>
      </c>
    </row>
    <row r="133" spans="1:19" ht="70.5" customHeight="1" x14ac:dyDescent="0.25">
      <c r="A133" s="305" t="s">
        <v>367</v>
      </c>
      <c r="B133" s="309">
        <v>70932522</v>
      </c>
      <c r="C133" s="303" t="s">
        <v>296</v>
      </c>
      <c r="D133" s="303" t="s">
        <v>1323</v>
      </c>
      <c r="E133" s="309" t="s">
        <v>1101</v>
      </c>
      <c r="F133" s="306">
        <v>1660265</v>
      </c>
      <c r="G133" s="304" t="s">
        <v>1109</v>
      </c>
      <c r="H133" s="307" t="s">
        <v>283</v>
      </c>
      <c r="I133" s="330" t="s">
        <v>278</v>
      </c>
      <c r="J133" s="364">
        <v>8</v>
      </c>
      <c r="K133" s="357">
        <v>0</v>
      </c>
      <c r="L133" s="357">
        <v>8</v>
      </c>
      <c r="M133" s="356">
        <v>10</v>
      </c>
      <c r="N133" s="357">
        <v>1803564</v>
      </c>
      <c r="O133" s="356"/>
      <c r="P133" s="356">
        <v>1803564</v>
      </c>
      <c r="Q133" s="357" t="s">
        <v>814</v>
      </c>
      <c r="R133" s="357">
        <v>0</v>
      </c>
      <c r="S133" s="357">
        <v>0</v>
      </c>
    </row>
    <row r="134" spans="1:19" ht="70.5" customHeight="1" x14ac:dyDescent="0.25">
      <c r="A134" s="305" t="s">
        <v>367</v>
      </c>
      <c r="B134" s="309">
        <v>70932522</v>
      </c>
      <c r="C134" s="303" t="s">
        <v>296</v>
      </c>
      <c r="D134" s="303" t="s">
        <v>1323</v>
      </c>
      <c r="E134" s="309" t="s">
        <v>1101</v>
      </c>
      <c r="F134" s="306">
        <v>3196423</v>
      </c>
      <c r="G134" s="304" t="s">
        <v>1203</v>
      </c>
      <c r="H134" s="307" t="s">
        <v>268</v>
      </c>
      <c r="I134" s="330" t="s">
        <v>294</v>
      </c>
      <c r="J134" s="364">
        <v>1</v>
      </c>
      <c r="K134" s="357">
        <v>0</v>
      </c>
      <c r="L134" s="357">
        <v>1</v>
      </c>
      <c r="M134" s="356">
        <v>0</v>
      </c>
      <c r="N134" s="357">
        <v>650400</v>
      </c>
      <c r="O134" s="356"/>
      <c r="P134" s="356">
        <v>650400</v>
      </c>
      <c r="Q134" s="357" t="s">
        <v>814</v>
      </c>
      <c r="R134" s="357">
        <v>0</v>
      </c>
      <c r="S134" s="357">
        <v>0</v>
      </c>
    </row>
    <row r="135" spans="1:19" ht="70.5" customHeight="1" x14ac:dyDescent="0.25">
      <c r="A135" s="305" t="s">
        <v>367</v>
      </c>
      <c r="B135" s="309">
        <v>70932522</v>
      </c>
      <c r="C135" s="303" t="s">
        <v>296</v>
      </c>
      <c r="D135" s="303" t="s">
        <v>1323</v>
      </c>
      <c r="E135" s="309" t="s">
        <v>1101</v>
      </c>
      <c r="F135" s="306">
        <v>4949295</v>
      </c>
      <c r="G135" s="304" t="s">
        <v>1193</v>
      </c>
      <c r="H135" s="307" t="s">
        <v>1415</v>
      </c>
      <c r="I135" s="330" t="s">
        <v>269</v>
      </c>
      <c r="J135" s="364">
        <v>5.3</v>
      </c>
      <c r="K135" s="357">
        <v>0</v>
      </c>
      <c r="L135" s="357">
        <v>5.3</v>
      </c>
      <c r="M135" s="356">
        <v>0</v>
      </c>
      <c r="N135" s="357">
        <v>3816000</v>
      </c>
      <c r="O135" s="356"/>
      <c r="P135" s="356">
        <v>3816000</v>
      </c>
      <c r="Q135" s="357" t="s">
        <v>814</v>
      </c>
      <c r="R135" s="357">
        <v>0</v>
      </c>
      <c r="S135" s="357">
        <v>0</v>
      </c>
    </row>
    <row r="136" spans="1:19" ht="70.5" customHeight="1" x14ac:dyDescent="0.25">
      <c r="A136" s="305" t="s">
        <v>367</v>
      </c>
      <c r="B136" s="309">
        <v>70932522</v>
      </c>
      <c r="C136" s="303" t="s">
        <v>296</v>
      </c>
      <c r="D136" s="303" t="s">
        <v>1323</v>
      </c>
      <c r="E136" s="309" t="s">
        <v>1101</v>
      </c>
      <c r="F136" s="306">
        <v>9076392</v>
      </c>
      <c r="G136" s="304" t="s">
        <v>1142</v>
      </c>
      <c r="H136" s="307" t="s">
        <v>297</v>
      </c>
      <c r="I136" s="330" t="s">
        <v>269</v>
      </c>
      <c r="J136" s="364">
        <v>13.1</v>
      </c>
      <c r="K136" s="357">
        <v>0</v>
      </c>
      <c r="L136" s="357">
        <v>13.1</v>
      </c>
      <c r="M136" s="356">
        <v>0</v>
      </c>
      <c r="N136" s="357">
        <v>7455996</v>
      </c>
      <c r="O136" s="356"/>
      <c r="P136" s="356">
        <v>7455996</v>
      </c>
      <c r="Q136" s="357" t="s">
        <v>814</v>
      </c>
      <c r="R136" s="357">
        <v>0</v>
      </c>
      <c r="S136" s="357">
        <v>0</v>
      </c>
    </row>
    <row r="137" spans="1:19" ht="70.5" customHeight="1" x14ac:dyDescent="0.25">
      <c r="A137" s="305" t="s">
        <v>367</v>
      </c>
      <c r="B137" s="309">
        <v>70932522</v>
      </c>
      <c r="C137" s="303" t="s">
        <v>296</v>
      </c>
      <c r="D137" s="303" t="s">
        <v>1323</v>
      </c>
      <c r="E137" s="309" t="s">
        <v>1101</v>
      </c>
      <c r="F137" s="306">
        <v>8900016</v>
      </c>
      <c r="G137" s="304" t="s">
        <v>1114</v>
      </c>
      <c r="H137" s="307" t="s">
        <v>298</v>
      </c>
      <c r="I137" s="330" t="s">
        <v>278</v>
      </c>
      <c r="J137" s="364">
        <v>73.010000000000005</v>
      </c>
      <c r="K137" s="357">
        <v>0</v>
      </c>
      <c r="L137" s="357">
        <v>73.010000000000005</v>
      </c>
      <c r="M137" s="356">
        <v>58</v>
      </c>
      <c r="N137" s="357">
        <v>33122996</v>
      </c>
      <c r="O137" s="356"/>
      <c r="P137" s="356">
        <v>33122996</v>
      </c>
      <c r="Q137" s="357" t="s">
        <v>814</v>
      </c>
      <c r="R137" s="357">
        <v>0</v>
      </c>
      <c r="S137" s="357">
        <v>0</v>
      </c>
    </row>
    <row r="138" spans="1:19" ht="70.5" customHeight="1" x14ac:dyDescent="0.25">
      <c r="A138" s="305" t="s">
        <v>368</v>
      </c>
      <c r="B138" s="309">
        <v>22889159</v>
      </c>
      <c r="C138" s="303" t="s">
        <v>288</v>
      </c>
      <c r="D138" s="303" t="s">
        <v>1324</v>
      </c>
      <c r="E138" s="309"/>
      <c r="F138" s="306">
        <v>7555345</v>
      </c>
      <c r="G138" s="304" t="s">
        <v>1104</v>
      </c>
      <c r="H138" s="307" t="s">
        <v>331</v>
      </c>
      <c r="I138" s="330" t="s">
        <v>294</v>
      </c>
      <c r="J138" s="364">
        <v>1.25</v>
      </c>
      <c r="K138" s="357">
        <v>0</v>
      </c>
      <c r="L138" s="357">
        <v>1.25</v>
      </c>
      <c r="M138" s="356">
        <v>0</v>
      </c>
      <c r="N138" s="357">
        <v>877500</v>
      </c>
      <c r="O138" s="356"/>
      <c r="P138" s="356">
        <v>877500</v>
      </c>
      <c r="Q138" s="357">
        <v>114000</v>
      </c>
      <c r="R138" s="357">
        <v>0</v>
      </c>
      <c r="S138" s="357">
        <v>114000</v>
      </c>
    </row>
    <row r="139" spans="1:19" ht="70.5" customHeight="1" x14ac:dyDescent="0.25">
      <c r="A139" s="305" t="s">
        <v>369</v>
      </c>
      <c r="B139" s="309">
        <v>62695487</v>
      </c>
      <c r="C139" s="303" t="s">
        <v>374</v>
      </c>
      <c r="D139" s="303" t="s">
        <v>1325</v>
      </c>
      <c r="E139" s="309"/>
      <c r="F139" s="306">
        <v>2073130</v>
      </c>
      <c r="G139" s="304" t="s">
        <v>1488</v>
      </c>
      <c r="H139" s="307" t="s">
        <v>268</v>
      </c>
      <c r="I139" s="330" t="s">
        <v>300</v>
      </c>
      <c r="J139" s="364">
        <v>2</v>
      </c>
      <c r="K139" s="357">
        <v>0</v>
      </c>
      <c r="L139" s="357">
        <v>2</v>
      </c>
      <c r="M139" s="356">
        <v>0</v>
      </c>
      <c r="N139" s="357">
        <v>1370852</v>
      </c>
      <c r="O139" s="356"/>
      <c r="P139" s="356">
        <v>1370852</v>
      </c>
      <c r="Q139" s="357">
        <v>143000</v>
      </c>
      <c r="R139" s="357">
        <v>0</v>
      </c>
      <c r="S139" s="357">
        <v>143000</v>
      </c>
    </row>
    <row r="140" spans="1:19" ht="70.5" customHeight="1" x14ac:dyDescent="0.25">
      <c r="A140" s="305" t="s">
        <v>123</v>
      </c>
      <c r="B140" s="306" t="s">
        <v>1404</v>
      </c>
      <c r="C140" s="303" t="s">
        <v>374</v>
      </c>
      <c r="D140" s="303" t="s">
        <v>1326</v>
      </c>
      <c r="E140" s="306"/>
      <c r="F140" s="306">
        <v>8752756</v>
      </c>
      <c r="G140" s="304" t="s">
        <v>1222</v>
      </c>
      <c r="H140" s="307" t="s">
        <v>330</v>
      </c>
      <c r="I140" s="330" t="s">
        <v>300</v>
      </c>
      <c r="J140" s="364">
        <v>3</v>
      </c>
      <c r="K140" s="357">
        <v>0</v>
      </c>
      <c r="L140" s="357">
        <v>3</v>
      </c>
      <c r="M140" s="356">
        <v>0</v>
      </c>
      <c r="N140" s="357">
        <v>2457000</v>
      </c>
      <c r="O140" s="356"/>
      <c r="P140" s="356">
        <v>2457000</v>
      </c>
      <c r="Q140" s="357">
        <v>233000</v>
      </c>
      <c r="R140" s="357">
        <v>0</v>
      </c>
      <c r="S140" s="357">
        <v>233000</v>
      </c>
    </row>
    <row r="141" spans="1:19" ht="70.5" customHeight="1" x14ac:dyDescent="0.25">
      <c r="A141" s="305" t="s">
        <v>373</v>
      </c>
      <c r="B141" s="306" t="s">
        <v>1405</v>
      </c>
      <c r="C141" s="303" t="s">
        <v>374</v>
      </c>
      <c r="D141" s="303" t="s">
        <v>1327</v>
      </c>
      <c r="E141" s="306"/>
      <c r="F141" s="306">
        <v>7356784</v>
      </c>
      <c r="G141" s="304" t="s">
        <v>1489</v>
      </c>
      <c r="H141" s="307" t="s">
        <v>330</v>
      </c>
      <c r="I141" s="330" t="s">
        <v>300</v>
      </c>
      <c r="J141" s="364">
        <v>3</v>
      </c>
      <c r="K141" s="357">
        <v>0</v>
      </c>
      <c r="L141" s="357">
        <v>3</v>
      </c>
      <c r="M141" s="356">
        <v>0</v>
      </c>
      <c r="N141" s="357">
        <v>2260000</v>
      </c>
      <c r="O141" s="356"/>
      <c r="P141" s="356">
        <v>2260000</v>
      </c>
      <c r="Q141" s="357">
        <v>218000</v>
      </c>
      <c r="R141" s="357">
        <v>0</v>
      </c>
      <c r="S141" s="357">
        <v>218000</v>
      </c>
    </row>
    <row r="142" spans="1:19" ht="70.5" customHeight="1" x14ac:dyDescent="0.25">
      <c r="A142" s="305" t="s">
        <v>222</v>
      </c>
      <c r="B142" s="306" t="s">
        <v>1406</v>
      </c>
      <c r="C142" s="303" t="s">
        <v>372</v>
      </c>
      <c r="D142" s="303" t="s">
        <v>1328</v>
      </c>
      <c r="E142" s="306"/>
      <c r="F142" s="306">
        <v>8935632</v>
      </c>
      <c r="G142" s="304" t="s">
        <v>1490</v>
      </c>
      <c r="H142" s="307" t="s">
        <v>330</v>
      </c>
      <c r="I142" s="330" t="s">
        <v>300</v>
      </c>
      <c r="J142" s="364">
        <v>3</v>
      </c>
      <c r="K142" s="357">
        <v>0</v>
      </c>
      <c r="L142" s="357">
        <v>3</v>
      </c>
      <c r="M142" s="356">
        <v>0</v>
      </c>
      <c r="N142" s="357">
        <v>2457000</v>
      </c>
      <c r="O142" s="356"/>
      <c r="P142" s="356">
        <v>2457000</v>
      </c>
      <c r="Q142" s="357">
        <v>245000</v>
      </c>
      <c r="R142" s="357">
        <v>0</v>
      </c>
      <c r="S142" s="357">
        <v>245000</v>
      </c>
    </row>
    <row r="143" spans="1:19" ht="70.5" customHeight="1" x14ac:dyDescent="0.25">
      <c r="A143" s="305" t="s">
        <v>113</v>
      </c>
      <c r="B143" s="306" t="s">
        <v>375</v>
      </c>
      <c r="C143" s="303" t="s">
        <v>288</v>
      </c>
      <c r="D143" s="303" t="s">
        <v>1329</v>
      </c>
      <c r="E143" s="306"/>
      <c r="F143" s="306">
        <v>7734736</v>
      </c>
      <c r="G143" s="304" t="s">
        <v>1491</v>
      </c>
      <c r="H143" s="307" t="s">
        <v>325</v>
      </c>
      <c r="I143" s="330" t="s">
        <v>294</v>
      </c>
      <c r="J143" s="364">
        <v>7.25</v>
      </c>
      <c r="K143" s="357">
        <v>0</v>
      </c>
      <c r="L143" s="357">
        <v>7.25</v>
      </c>
      <c r="M143" s="356">
        <v>0</v>
      </c>
      <c r="N143" s="357">
        <v>5947981</v>
      </c>
      <c r="O143" s="356"/>
      <c r="P143" s="356">
        <v>5947981</v>
      </c>
      <c r="Q143" s="357">
        <v>686000</v>
      </c>
      <c r="R143" s="357">
        <v>0</v>
      </c>
      <c r="S143" s="357">
        <v>686000</v>
      </c>
    </row>
    <row r="144" spans="1:19" ht="70.5" customHeight="1" x14ac:dyDescent="0.25">
      <c r="A144" s="305" t="s">
        <v>376</v>
      </c>
      <c r="B144" s="306">
        <v>71173854</v>
      </c>
      <c r="C144" s="303" t="s">
        <v>324</v>
      </c>
      <c r="D144" s="303" t="s">
        <v>1330</v>
      </c>
      <c r="E144" s="306"/>
      <c r="F144" s="306">
        <v>5285192</v>
      </c>
      <c r="G144" s="304" t="s">
        <v>1492</v>
      </c>
      <c r="H144" s="307" t="s">
        <v>321</v>
      </c>
      <c r="I144" s="330" t="s">
        <v>294</v>
      </c>
      <c r="J144" s="364">
        <v>1.6</v>
      </c>
      <c r="K144" s="357">
        <v>0</v>
      </c>
      <c r="L144" s="357">
        <v>1.6</v>
      </c>
      <c r="M144" s="356">
        <v>0</v>
      </c>
      <c r="N144" s="357">
        <v>100000</v>
      </c>
      <c r="O144" s="356"/>
      <c r="P144" s="356">
        <v>100000</v>
      </c>
      <c r="Q144" s="357" t="s">
        <v>814</v>
      </c>
      <c r="R144" s="357">
        <v>0</v>
      </c>
      <c r="S144" s="357">
        <v>0</v>
      </c>
    </row>
    <row r="145" spans="1:19" ht="70.5" customHeight="1" x14ac:dyDescent="0.25">
      <c r="A145" s="305" t="s">
        <v>376</v>
      </c>
      <c r="B145" s="309">
        <v>71173854</v>
      </c>
      <c r="C145" s="303" t="s">
        <v>324</v>
      </c>
      <c r="D145" s="303" t="s">
        <v>1330</v>
      </c>
      <c r="E145" s="309"/>
      <c r="F145" s="306">
        <v>5861633</v>
      </c>
      <c r="G145" s="304" t="s">
        <v>1493</v>
      </c>
      <c r="H145" s="307" t="s">
        <v>289</v>
      </c>
      <c r="I145" s="330" t="s">
        <v>269</v>
      </c>
      <c r="J145" s="364">
        <v>2.1</v>
      </c>
      <c r="K145" s="357">
        <v>0</v>
      </c>
      <c r="L145" s="357">
        <v>2.1</v>
      </c>
      <c r="M145" s="356">
        <v>0</v>
      </c>
      <c r="N145" s="357">
        <v>618516</v>
      </c>
      <c r="O145" s="356"/>
      <c r="P145" s="356">
        <v>618516</v>
      </c>
      <c r="Q145" s="357" t="s">
        <v>814</v>
      </c>
      <c r="R145" s="357">
        <v>0</v>
      </c>
      <c r="S145" s="357">
        <v>0</v>
      </c>
    </row>
    <row r="146" spans="1:19" ht="70.5" customHeight="1" x14ac:dyDescent="0.25">
      <c r="A146" s="305" t="s">
        <v>154</v>
      </c>
      <c r="B146" s="309">
        <v>25405080</v>
      </c>
      <c r="C146" s="303" t="s">
        <v>318</v>
      </c>
      <c r="D146" s="303" t="s">
        <v>1331</v>
      </c>
      <c r="E146" s="309"/>
      <c r="F146" s="306">
        <v>4873800</v>
      </c>
      <c r="G146" s="304" t="s">
        <v>844</v>
      </c>
      <c r="H146" s="307" t="s">
        <v>321</v>
      </c>
      <c r="I146" s="330" t="s">
        <v>294</v>
      </c>
      <c r="J146" s="364">
        <v>10.4</v>
      </c>
      <c r="K146" s="357">
        <v>0</v>
      </c>
      <c r="L146" s="357">
        <v>10.4</v>
      </c>
      <c r="M146" s="356">
        <v>0</v>
      </c>
      <c r="N146" s="357">
        <v>6671844</v>
      </c>
      <c r="O146" s="356"/>
      <c r="P146" s="356">
        <v>6671844</v>
      </c>
      <c r="Q146" s="357">
        <v>950000</v>
      </c>
      <c r="R146" s="357">
        <v>0</v>
      </c>
      <c r="S146" s="357">
        <v>950000</v>
      </c>
    </row>
    <row r="147" spans="1:19" ht="70.5" customHeight="1" x14ac:dyDescent="0.25">
      <c r="A147" s="305" t="s">
        <v>377</v>
      </c>
      <c r="B147" s="309" t="s">
        <v>378</v>
      </c>
      <c r="C147" s="303" t="s">
        <v>379</v>
      </c>
      <c r="D147" s="303" t="s">
        <v>1332</v>
      </c>
      <c r="E147" s="309"/>
      <c r="F147" s="306">
        <v>2700736</v>
      </c>
      <c r="G147" s="304" t="s">
        <v>1131</v>
      </c>
      <c r="H147" s="307" t="s">
        <v>325</v>
      </c>
      <c r="I147" s="330" t="s">
        <v>300</v>
      </c>
      <c r="J147" s="364">
        <v>4.9000000000000004</v>
      </c>
      <c r="K147" s="357">
        <v>0</v>
      </c>
      <c r="L147" s="357">
        <v>4.9000000000000004</v>
      </c>
      <c r="M147" s="356">
        <v>0</v>
      </c>
      <c r="N147" s="357">
        <v>2881520</v>
      </c>
      <c r="O147" s="356"/>
      <c r="P147" s="356">
        <v>2881520</v>
      </c>
      <c r="Q147" s="357" t="s">
        <v>814</v>
      </c>
      <c r="R147" s="357">
        <v>0</v>
      </c>
      <c r="S147" s="357">
        <v>0</v>
      </c>
    </row>
    <row r="148" spans="1:19" ht="70.5" customHeight="1" x14ac:dyDescent="0.25">
      <c r="A148" s="305" t="s">
        <v>380</v>
      </c>
      <c r="B148" s="309" t="s">
        <v>381</v>
      </c>
      <c r="C148" s="303" t="s">
        <v>379</v>
      </c>
      <c r="D148" s="303" t="s">
        <v>1333</v>
      </c>
      <c r="E148" s="309"/>
      <c r="F148" s="306">
        <v>8598927</v>
      </c>
      <c r="G148" s="304" t="s">
        <v>380</v>
      </c>
      <c r="H148" s="307" t="s">
        <v>325</v>
      </c>
      <c r="I148" s="330" t="s">
        <v>294</v>
      </c>
      <c r="J148" s="364">
        <v>3.1</v>
      </c>
      <c r="K148" s="357">
        <v>0</v>
      </c>
      <c r="L148" s="357">
        <v>3.1</v>
      </c>
      <c r="M148" s="356">
        <v>0</v>
      </c>
      <c r="N148" s="357">
        <v>340383</v>
      </c>
      <c r="O148" s="356"/>
      <c r="P148" s="356">
        <v>340383</v>
      </c>
      <c r="Q148" s="357" t="s">
        <v>814</v>
      </c>
      <c r="R148" s="357">
        <v>0</v>
      </c>
      <c r="S148" s="357">
        <v>0</v>
      </c>
    </row>
    <row r="149" spans="1:19" ht="70.5" customHeight="1" x14ac:dyDescent="0.25">
      <c r="A149" s="305" t="s">
        <v>382</v>
      </c>
      <c r="B149" s="309" t="s">
        <v>383</v>
      </c>
      <c r="C149" s="303" t="s">
        <v>379</v>
      </c>
      <c r="D149" s="303" t="s">
        <v>1334</v>
      </c>
      <c r="E149" s="309"/>
      <c r="F149" s="306">
        <v>2088349</v>
      </c>
      <c r="G149" s="304" t="s">
        <v>1494</v>
      </c>
      <c r="H149" s="307" t="s">
        <v>325</v>
      </c>
      <c r="I149" s="330" t="s">
        <v>300</v>
      </c>
      <c r="J149" s="364">
        <v>5</v>
      </c>
      <c r="K149" s="357">
        <v>0</v>
      </c>
      <c r="L149" s="357">
        <v>5</v>
      </c>
      <c r="M149" s="356">
        <v>0</v>
      </c>
      <c r="N149" s="357">
        <v>2994792</v>
      </c>
      <c r="O149" s="356"/>
      <c r="P149" s="356">
        <v>2994792</v>
      </c>
      <c r="Q149" s="357" t="s">
        <v>814</v>
      </c>
      <c r="R149" s="357">
        <v>0</v>
      </c>
      <c r="S149" s="357">
        <v>0</v>
      </c>
    </row>
    <row r="150" spans="1:19" ht="70.5" customHeight="1" x14ac:dyDescent="0.25">
      <c r="A150" s="305" t="s">
        <v>384</v>
      </c>
      <c r="B150" s="309" t="s">
        <v>385</v>
      </c>
      <c r="C150" s="303" t="s">
        <v>379</v>
      </c>
      <c r="D150" s="303" t="s">
        <v>1335</v>
      </c>
      <c r="E150" s="309"/>
      <c r="F150" s="306">
        <v>3886672</v>
      </c>
      <c r="G150" s="304" t="s">
        <v>1158</v>
      </c>
      <c r="H150" s="307" t="s">
        <v>325</v>
      </c>
      <c r="I150" s="330" t="s">
        <v>300</v>
      </c>
      <c r="J150" s="364">
        <v>9.25</v>
      </c>
      <c r="K150" s="357">
        <v>0</v>
      </c>
      <c r="L150" s="357">
        <v>9.25</v>
      </c>
      <c r="M150" s="356">
        <v>0</v>
      </c>
      <c r="N150" s="357">
        <v>4561000</v>
      </c>
      <c r="O150" s="356"/>
      <c r="P150" s="356">
        <v>4561000</v>
      </c>
      <c r="Q150" s="357" t="s">
        <v>814</v>
      </c>
      <c r="R150" s="357">
        <v>0</v>
      </c>
      <c r="S150" s="357">
        <v>0</v>
      </c>
    </row>
    <row r="151" spans="1:19" ht="70.5" customHeight="1" x14ac:dyDescent="0.25">
      <c r="A151" s="305" t="s">
        <v>386</v>
      </c>
      <c r="B151" s="309" t="s">
        <v>387</v>
      </c>
      <c r="C151" s="303" t="s">
        <v>379</v>
      </c>
      <c r="D151" s="303" t="s">
        <v>1336</v>
      </c>
      <c r="E151" s="309"/>
      <c r="F151" s="306">
        <v>7777619</v>
      </c>
      <c r="G151" s="304" t="s">
        <v>386</v>
      </c>
      <c r="H151" s="307" t="s">
        <v>325</v>
      </c>
      <c r="I151" s="330" t="s">
        <v>300</v>
      </c>
      <c r="J151" s="364">
        <v>7</v>
      </c>
      <c r="K151" s="357">
        <v>0</v>
      </c>
      <c r="L151" s="357">
        <v>7</v>
      </c>
      <c r="M151" s="356">
        <v>0</v>
      </c>
      <c r="N151" s="357">
        <v>2187216</v>
      </c>
      <c r="O151" s="356"/>
      <c r="P151" s="356">
        <v>2187216</v>
      </c>
      <c r="Q151" s="357" t="s">
        <v>814</v>
      </c>
      <c r="R151" s="357">
        <v>0</v>
      </c>
      <c r="S151" s="357">
        <v>0</v>
      </c>
    </row>
    <row r="152" spans="1:19" ht="70.5" customHeight="1" x14ac:dyDescent="0.25">
      <c r="A152" s="305" t="s">
        <v>388</v>
      </c>
      <c r="B152" s="309" t="s">
        <v>389</v>
      </c>
      <c r="C152" s="303" t="s">
        <v>379</v>
      </c>
      <c r="D152" s="303" t="s">
        <v>1337</v>
      </c>
      <c r="E152" s="309"/>
      <c r="F152" s="306">
        <v>2838544</v>
      </c>
      <c r="G152" s="304" t="s">
        <v>1495</v>
      </c>
      <c r="H152" s="307" t="s">
        <v>325</v>
      </c>
      <c r="I152" s="330" t="s">
        <v>300</v>
      </c>
      <c r="J152" s="364">
        <v>3.1</v>
      </c>
      <c r="K152" s="357">
        <v>0</v>
      </c>
      <c r="L152" s="357">
        <v>3.1</v>
      </c>
      <c r="M152" s="356">
        <v>0</v>
      </c>
      <c r="N152" s="357">
        <v>1304538</v>
      </c>
      <c r="O152" s="356"/>
      <c r="P152" s="356">
        <v>1304538</v>
      </c>
      <c r="Q152" s="357" t="s">
        <v>814</v>
      </c>
      <c r="R152" s="357">
        <v>0</v>
      </c>
      <c r="S152" s="357">
        <v>0</v>
      </c>
    </row>
    <row r="153" spans="1:19" ht="70.5" customHeight="1" x14ac:dyDescent="0.25">
      <c r="A153" s="305" t="s">
        <v>390</v>
      </c>
      <c r="B153" s="306" t="s">
        <v>391</v>
      </c>
      <c r="C153" s="303" t="s">
        <v>379</v>
      </c>
      <c r="D153" s="303" t="s">
        <v>1338</v>
      </c>
      <c r="E153" s="306"/>
      <c r="F153" s="306">
        <v>2084701</v>
      </c>
      <c r="G153" s="304" t="s">
        <v>847</v>
      </c>
      <c r="H153" s="307" t="s">
        <v>325</v>
      </c>
      <c r="I153" s="330" t="s">
        <v>300</v>
      </c>
      <c r="J153" s="364">
        <v>10</v>
      </c>
      <c r="K153" s="357">
        <v>0</v>
      </c>
      <c r="L153" s="357">
        <v>10</v>
      </c>
      <c r="M153" s="356">
        <v>0</v>
      </c>
      <c r="N153" s="357">
        <v>4380525</v>
      </c>
      <c r="O153" s="356"/>
      <c r="P153" s="356">
        <v>4380525</v>
      </c>
      <c r="Q153" s="357" t="s">
        <v>814</v>
      </c>
      <c r="R153" s="357">
        <v>0</v>
      </c>
      <c r="S153" s="357">
        <v>0</v>
      </c>
    </row>
    <row r="154" spans="1:19" ht="70.5" customHeight="1" x14ac:dyDescent="0.25">
      <c r="A154" s="305" t="s">
        <v>392</v>
      </c>
      <c r="B154" s="306" t="s">
        <v>393</v>
      </c>
      <c r="C154" s="303" t="s">
        <v>379</v>
      </c>
      <c r="D154" s="303" t="s">
        <v>1339</v>
      </c>
      <c r="E154" s="306"/>
      <c r="F154" s="306">
        <v>1129034</v>
      </c>
      <c r="G154" s="304" t="s">
        <v>1472</v>
      </c>
      <c r="H154" s="307" t="s">
        <v>325</v>
      </c>
      <c r="I154" s="330" t="s">
        <v>294</v>
      </c>
      <c r="J154" s="364">
        <v>6.6</v>
      </c>
      <c r="K154" s="357">
        <v>0</v>
      </c>
      <c r="L154" s="357">
        <v>6.6</v>
      </c>
      <c r="M154" s="356">
        <v>0</v>
      </c>
      <c r="N154" s="357">
        <v>2865632</v>
      </c>
      <c r="O154" s="356"/>
      <c r="P154" s="356">
        <v>2865632</v>
      </c>
      <c r="Q154" s="357" t="s">
        <v>814</v>
      </c>
      <c r="R154" s="357">
        <v>0</v>
      </c>
      <c r="S154" s="357">
        <v>0</v>
      </c>
    </row>
    <row r="155" spans="1:19" ht="70.5" customHeight="1" x14ac:dyDescent="0.25">
      <c r="A155" s="305" t="s">
        <v>394</v>
      </c>
      <c r="B155" s="306" t="s">
        <v>395</v>
      </c>
      <c r="C155" s="303" t="s">
        <v>379</v>
      </c>
      <c r="D155" s="303" t="s">
        <v>1340</v>
      </c>
      <c r="E155" s="306"/>
      <c r="F155" s="306">
        <v>8227630</v>
      </c>
      <c r="G155" s="304" t="s">
        <v>847</v>
      </c>
      <c r="H155" s="307" t="s">
        <v>325</v>
      </c>
      <c r="I155" s="330" t="s">
        <v>300</v>
      </c>
      <c r="J155" s="364">
        <v>3.5</v>
      </c>
      <c r="K155" s="357">
        <v>0</v>
      </c>
      <c r="L155" s="357">
        <v>3.5</v>
      </c>
      <c r="M155" s="356">
        <v>0</v>
      </c>
      <c r="N155" s="357">
        <v>1868155</v>
      </c>
      <c r="O155" s="356"/>
      <c r="P155" s="356">
        <v>1868155</v>
      </c>
      <c r="Q155" s="357" t="s">
        <v>814</v>
      </c>
      <c r="R155" s="357">
        <v>0</v>
      </c>
      <c r="S155" s="357">
        <v>0</v>
      </c>
    </row>
    <row r="156" spans="1:19" ht="70.5" customHeight="1" x14ac:dyDescent="0.25">
      <c r="A156" s="305" t="s">
        <v>396</v>
      </c>
      <c r="B156" s="306" t="s">
        <v>397</v>
      </c>
      <c r="C156" s="303" t="s">
        <v>379</v>
      </c>
      <c r="D156" s="303" t="s">
        <v>1341</v>
      </c>
      <c r="E156" s="306"/>
      <c r="F156" s="306">
        <v>2587147</v>
      </c>
      <c r="G156" s="304" t="s">
        <v>1128</v>
      </c>
      <c r="H156" s="307" t="s">
        <v>325</v>
      </c>
      <c r="I156" s="330" t="s">
        <v>294</v>
      </c>
      <c r="J156" s="364">
        <v>1.03</v>
      </c>
      <c r="K156" s="357">
        <v>0</v>
      </c>
      <c r="L156" s="357">
        <v>1.03</v>
      </c>
      <c r="M156" s="356">
        <v>0</v>
      </c>
      <c r="N156" s="357">
        <v>375773</v>
      </c>
      <c r="O156" s="356"/>
      <c r="P156" s="356">
        <v>375773</v>
      </c>
      <c r="Q156" s="357" t="s">
        <v>814</v>
      </c>
      <c r="R156" s="357">
        <v>0</v>
      </c>
      <c r="S156" s="357">
        <v>0</v>
      </c>
    </row>
    <row r="157" spans="1:19" ht="70.5" customHeight="1" x14ac:dyDescent="0.25">
      <c r="A157" s="305" t="s">
        <v>398</v>
      </c>
      <c r="B157" s="306" t="s">
        <v>399</v>
      </c>
      <c r="C157" s="303" t="s">
        <v>379</v>
      </c>
      <c r="D157" s="303" t="s">
        <v>1430</v>
      </c>
      <c r="E157" s="306"/>
      <c r="F157" s="306">
        <v>2552651</v>
      </c>
      <c r="G157" s="304" t="s">
        <v>1472</v>
      </c>
      <c r="H157" s="307" t="s">
        <v>325</v>
      </c>
      <c r="I157" s="330" t="s">
        <v>294</v>
      </c>
      <c r="J157" s="364">
        <v>2.5</v>
      </c>
      <c r="K157" s="357">
        <v>0</v>
      </c>
      <c r="L157" s="357">
        <v>2.5</v>
      </c>
      <c r="M157" s="356">
        <v>0</v>
      </c>
      <c r="N157" s="357">
        <v>1300000</v>
      </c>
      <c r="O157" s="356"/>
      <c r="P157" s="356">
        <v>1300000</v>
      </c>
      <c r="Q157" s="357" t="s">
        <v>814</v>
      </c>
      <c r="R157" s="357">
        <v>0</v>
      </c>
      <c r="S157" s="357">
        <v>0</v>
      </c>
    </row>
    <row r="158" spans="1:19" ht="70.5" customHeight="1" x14ac:dyDescent="0.25">
      <c r="A158" s="305" t="s">
        <v>400</v>
      </c>
      <c r="B158" s="306" t="s">
        <v>401</v>
      </c>
      <c r="C158" s="303" t="s">
        <v>379</v>
      </c>
      <c r="D158" s="303" t="s">
        <v>1343</v>
      </c>
      <c r="E158" s="306"/>
      <c r="F158" s="306">
        <v>2574699</v>
      </c>
      <c r="G158" s="304" t="s">
        <v>1127</v>
      </c>
      <c r="H158" s="307" t="s">
        <v>325</v>
      </c>
      <c r="I158" s="330" t="s">
        <v>300</v>
      </c>
      <c r="J158" s="364">
        <v>4</v>
      </c>
      <c r="K158" s="357">
        <v>0</v>
      </c>
      <c r="L158" s="357">
        <v>4</v>
      </c>
      <c r="M158" s="356">
        <v>0</v>
      </c>
      <c r="N158" s="357">
        <v>1731660</v>
      </c>
      <c r="O158" s="356"/>
      <c r="P158" s="356">
        <v>1731660</v>
      </c>
      <c r="Q158" s="357" t="s">
        <v>814</v>
      </c>
      <c r="R158" s="357">
        <v>0</v>
      </c>
      <c r="S158" s="357">
        <v>0</v>
      </c>
    </row>
    <row r="159" spans="1:19" ht="70.5" customHeight="1" x14ac:dyDescent="0.25">
      <c r="A159" s="305" t="s">
        <v>402</v>
      </c>
      <c r="B159" s="309" t="s">
        <v>403</v>
      </c>
      <c r="C159" s="303" t="s">
        <v>379</v>
      </c>
      <c r="D159" s="303" t="s">
        <v>1344</v>
      </c>
      <c r="E159" s="309"/>
      <c r="F159" s="306">
        <v>7207666</v>
      </c>
      <c r="G159" s="304" t="s">
        <v>402</v>
      </c>
      <c r="H159" s="307" t="s">
        <v>325</v>
      </c>
      <c r="I159" s="330" t="s">
        <v>294</v>
      </c>
      <c r="J159" s="364">
        <v>5.0999999999999996</v>
      </c>
      <c r="K159" s="357">
        <v>0</v>
      </c>
      <c r="L159" s="357">
        <v>5.0999999999999996</v>
      </c>
      <c r="M159" s="356">
        <v>0</v>
      </c>
      <c r="N159" s="357">
        <v>755601</v>
      </c>
      <c r="O159" s="356"/>
      <c r="P159" s="356">
        <v>755601</v>
      </c>
      <c r="Q159" s="357" t="s">
        <v>814</v>
      </c>
      <c r="R159" s="357">
        <v>0</v>
      </c>
      <c r="S159" s="357">
        <v>0</v>
      </c>
    </row>
    <row r="160" spans="1:19" ht="70.5" customHeight="1" x14ac:dyDescent="0.25">
      <c r="A160" s="305" t="s">
        <v>404</v>
      </c>
      <c r="B160" s="309" t="s">
        <v>405</v>
      </c>
      <c r="C160" s="303" t="s">
        <v>379</v>
      </c>
      <c r="D160" s="303" t="s">
        <v>1345</v>
      </c>
      <c r="E160" s="309"/>
      <c r="F160" s="306">
        <v>2928724</v>
      </c>
      <c r="G160" s="304" t="s">
        <v>1496</v>
      </c>
      <c r="H160" s="307" t="s">
        <v>325</v>
      </c>
      <c r="I160" s="330" t="s">
        <v>300</v>
      </c>
      <c r="J160" s="364">
        <v>8.5</v>
      </c>
      <c r="K160" s="357">
        <v>0</v>
      </c>
      <c r="L160" s="357">
        <v>8.5</v>
      </c>
      <c r="M160" s="356">
        <v>0</v>
      </c>
      <c r="N160" s="357">
        <v>2284797</v>
      </c>
      <c r="O160" s="356"/>
      <c r="P160" s="356">
        <v>2284797</v>
      </c>
      <c r="Q160" s="357" t="s">
        <v>814</v>
      </c>
      <c r="R160" s="357">
        <v>0</v>
      </c>
      <c r="S160" s="357">
        <v>0</v>
      </c>
    </row>
    <row r="161" spans="1:19" ht="70.5" customHeight="1" x14ac:dyDescent="0.25">
      <c r="A161" s="305" t="s">
        <v>993</v>
      </c>
      <c r="B161" s="306">
        <v>75100967</v>
      </c>
      <c r="C161" s="303" t="s">
        <v>371</v>
      </c>
      <c r="D161" s="303" t="s">
        <v>1346</v>
      </c>
      <c r="E161" s="306"/>
      <c r="F161" s="306">
        <v>5957695</v>
      </c>
      <c r="G161" s="304" t="s">
        <v>1198</v>
      </c>
      <c r="H161" s="307" t="s">
        <v>325</v>
      </c>
      <c r="I161" s="330" t="s">
        <v>294</v>
      </c>
      <c r="J161" s="364">
        <v>3.5</v>
      </c>
      <c r="K161" s="357">
        <v>0</v>
      </c>
      <c r="L161" s="357">
        <v>3.5</v>
      </c>
      <c r="M161" s="356">
        <v>0</v>
      </c>
      <c r="N161" s="357">
        <v>2002923</v>
      </c>
      <c r="O161" s="356"/>
      <c r="P161" s="356">
        <v>2002923</v>
      </c>
      <c r="Q161" s="357" t="s">
        <v>814</v>
      </c>
      <c r="R161" s="357">
        <v>0</v>
      </c>
      <c r="S161" s="357">
        <v>0</v>
      </c>
    </row>
    <row r="162" spans="1:19" ht="70.5" customHeight="1" x14ac:dyDescent="0.25">
      <c r="A162" s="305" t="s">
        <v>157</v>
      </c>
      <c r="B162" s="306">
        <v>63125137</v>
      </c>
      <c r="C162" s="303" t="s">
        <v>288</v>
      </c>
      <c r="D162" s="303" t="s">
        <v>1347</v>
      </c>
      <c r="E162" s="306"/>
      <c r="F162" s="306">
        <v>3801846</v>
      </c>
      <c r="G162" s="304" t="s">
        <v>1499</v>
      </c>
      <c r="H162" s="307" t="s">
        <v>407</v>
      </c>
      <c r="I162" s="330" t="s">
        <v>269</v>
      </c>
      <c r="J162" s="364">
        <v>3.65</v>
      </c>
      <c r="K162" s="357">
        <v>0</v>
      </c>
      <c r="L162" s="357">
        <v>3.65</v>
      </c>
      <c r="M162" s="356">
        <v>0</v>
      </c>
      <c r="N162" s="357">
        <v>2775825</v>
      </c>
      <c r="O162" s="356"/>
      <c r="P162" s="356">
        <v>2775825</v>
      </c>
      <c r="Q162" s="357">
        <v>333000</v>
      </c>
      <c r="R162" s="357">
        <v>0</v>
      </c>
      <c r="S162" s="357">
        <v>333000</v>
      </c>
    </row>
    <row r="163" spans="1:19" ht="70.5" customHeight="1" x14ac:dyDescent="0.25">
      <c r="A163" s="305" t="s">
        <v>157</v>
      </c>
      <c r="B163" s="306">
        <v>63125137</v>
      </c>
      <c r="C163" s="303" t="s">
        <v>288</v>
      </c>
      <c r="D163" s="303" t="s">
        <v>1347</v>
      </c>
      <c r="E163" s="306"/>
      <c r="F163" s="306">
        <v>3775974</v>
      </c>
      <c r="G163" s="304" t="s">
        <v>1498</v>
      </c>
      <c r="H163" s="307" t="s">
        <v>331</v>
      </c>
      <c r="I163" s="330" t="s">
        <v>294</v>
      </c>
      <c r="J163" s="364">
        <v>2</v>
      </c>
      <c r="K163" s="357">
        <v>0</v>
      </c>
      <c r="L163" s="357">
        <v>2</v>
      </c>
      <c r="M163" s="356">
        <v>0</v>
      </c>
      <c r="N163" s="357">
        <v>1542368</v>
      </c>
      <c r="O163" s="356"/>
      <c r="P163" s="356">
        <v>1542368</v>
      </c>
      <c r="Q163" s="357">
        <v>183000</v>
      </c>
      <c r="R163" s="357">
        <v>0</v>
      </c>
      <c r="S163" s="357">
        <v>183000</v>
      </c>
    </row>
    <row r="164" spans="1:19" ht="70.5" customHeight="1" x14ac:dyDescent="0.25">
      <c r="A164" s="305" t="s">
        <v>157</v>
      </c>
      <c r="B164" s="306">
        <v>63125137</v>
      </c>
      <c r="C164" s="303" t="s">
        <v>288</v>
      </c>
      <c r="D164" s="303" t="s">
        <v>1347</v>
      </c>
      <c r="E164" s="306"/>
      <c r="F164" s="306">
        <v>1220799</v>
      </c>
      <c r="G164" s="304" t="s">
        <v>1094</v>
      </c>
      <c r="H164" s="307" t="s">
        <v>406</v>
      </c>
      <c r="I164" s="330" t="s">
        <v>278</v>
      </c>
      <c r="J164" s="364">
        <v>5.9</v>
      </c>
      <c r="K164" s="357">
        <v>0</v>
      </c>
      <c r="L164" s="357">
        <v>5.9</v>
      </c>
      <c r="M164" s="356">
        <v>13</v>
      </c>
      <c r="N164" s="357">
        <v>4609952</v>
      </c>
      <c r="O164" s="356"/>
      <c r="P164" s="356">
        <v>4609952</v>
      </c>
      <c r="Q164" s="357">
        <v>464000</v>
      </c>
      <c r="R164" s="357">
        <v>0</v>
      </c>
      <c r="S164" s="357">
        <v>464000</v>
      </c>
    </row>
    <row r="165" spans="1:19" ht="70.5" customHeight="1" x14ac:dyDescent="0.25">
      <c r="A165" s="305" t="s">
        <v>157</v>
      </c>
      <c r="B165" s="306">
        <v>63125137</v>
      </c>
      <c r="C165" s="303" t="s">
        <v>288</v>
      </c>
      <c r="D165" s="303" t="s">
        <v>1347</v>
      </c>
      <c r="E165" s="306"/>
      <c r="F165" s="306">
        <v>1229581</v>
      </c>
      <c r="G165" s="304" t="s">
        <v>1497</v>
      </c>
      <c r="H165" s="307" t="s">
        <v>407</v>
      </c>
      <c r="I165" s="330" t="s">
        <v>269</v>
      </c>
      <c r="J165" s="364">
        <v>7</v>
      </c>
      <c r="K165" s="357">
        <v>0</v>
      </c>
      <c r="L165" s="357">
        <v>7</v>
      </c>
      <c r="M165" s="356">
        <v>0</v>
      </c>
      <c r="N165" s="357">
        <v>5323500</v>
      </c>
      <c r="O165" s="356"/>
      <c r="P165" s="356">
        <v>5323500</v>
      </c>
      <c r="Q165" s="357">
        <v>638000</v>
      </c>
      <c r="R165" s="357">
        <v>0</v>
      </c>
      <c r="S165" s="357">
        <v>638000</v>
      </c>
    </row>
    <row r="166" spans="1:19" ht="70.5" customHeight="1" x14ac:dyDescent="0.25">
      <c r="A166" s="305" t="s">
        <v>157</v>
      </c>
      <c r="B166" s="306">
        <v>63125137</v>
      </c>
      <c r="C166" s="303" t="s">
        <v>288</v>
      </c>
      <c r="D166" s="303" t="s">
        <v>1347</v>
      </c>
      <c r="E166" s="306"/>
      <c r="F166" s="306">
        <v>8306216</v>
      </c>
      <c r="G166" s="304" t="s">
        <v>1500</v>
      </c>
      <c r="H166" s="307" t="s">
        <v>331</v>
      </c>
      <c r="I166" s="330" t="s">
        <v>294</v>
      </c>
      <c r="J166" s="364">
        <v>10</v>
      </c>
      <c r="K166" s="357">
        <v>1</v>
      </c>
      <c r="L166" s="357">
        <v>11</v>
      </c>
      <c r="M166" s="356">
        <v>0</v>
      </c>
      <c r="N166" s="357">
        <v>7020000</v>
      </c>
      <c r="O166" s="356"/>
      <c r="P166" s="356">
        <v>7020000</v>
      </c>
      <c r="Q166" s="357">
        <v>1003000</v>
      </c>
      <c r="R166" s="357">
        <v>0</v>
      </c>
      <c r="S166" s="357">
        <v>1003000</v>
      </c>
    </row>
    <row r="167" spans="1:19" ht="70.5" customHeight="1" x14ac:dyDescent="0.25">
      <c r="A167" s="305" t="s">
        <v>18</v>
      </c>
      <c r="B167" s="309" t="s">
        <v>408</v>
      </c>
      <c r="C167" s="303" t="s">
        <v>288</v>
      </c>
      <c r="D167" s="303" t="s">
        <v>1348</v>
      </c>
      <c r="E167" s="309"/>
      <c r="F167" s="306">
        <v>9860755</v>
      </c>
      <c r="G167" s="304" t="s">
        <v>1504</v>
      </c>
      <c r="H167" s="307" t="s">
        <v>331</v>
      </c>
      <c r="I167" s="330" t="s">
        <v>294</v>
      </c>
      <c r="J167" s="364">
        <v>1</v>
      </c>
      <c r="K167" s="357">
        <v>0</v>
      </c>
      <c r="L167" s="357">
        <v>1</v>
      </c>
      <c r="M167" s="356">
        <v>0</v>
      </c>
      <c r="N167" s="357">
        <v>658920</v>
      </c>
      <c r="O167" s="356"/>
      <c r="P167" s="356">
        <v>658920</v>
      </c>
      <c r="Q167" s="357">
        <v>75000</v>
      </c>
      <c r="R167" s="357">
        <v>0</v>
      </c>
      <c r="S167" s="357">
        <v>75000</v>
      </c>
    </row>
    <row r="168" spans="1:19" ht="70.5" customHeight="1" x14ac:dyDescent="0.25">
      <c r="A168" s="305" t="s">
        <v>18</v>
      </c>
      <c r="B168" s="309" t="s">
        <v>408</v>
      </c>
      <c r="C168" s="303" t="s">
        <v>288</v>
      </c>
      <c r="D168" s="303" t="s">
        <v>1348</v>
      </c>
      <c r="E168" s="309"/>
      <c r="F168" s="306">
        <v>3822869</v>
      </c>
      <c r="G168" s="304" t="s">
        <v>1154</v>
      </c>
      <c r="H168" s="307" t="s">
        <v>410</v>
      </c>
      <c r="I168" s="330" t="s">
        <v>269</v>
      </c>
      <c r="J168" s="364">
        <v>2.15</v>
      </c>
      <c r="K168" s="357">
        <v>0</v>
      </c>
      <c r="L168" s="357">
        <v>2.15</v>
      </c>
      <c r="M168" s="356">
        <v>32</v>
      </c>
      <c r="N168" s="357">
        <v>1183880</v>
      </c>
      <c r="O168" s="356"/>
      <c r="P168" s="356">
        <v>1183880</v>
      </c>
      <c r="Q168" s="357">
        <v>165000</v>
      </c>
      <c r="R168" s="357">
        <v>0</v>
      </c>
      <c r="S168" s="357">
        <v>165000</v>
      </c>
    </row>
    <row r="169" spans="1:19" ht="70.5" customHeight="1" x14ac:dyDescent="0.25">
      <c r="A169" s="305" t="s">
        <v>18</v>
      </c>
      <c r="B169" s="309" t="s">
        <v>408</v>
      </c>
      <c r="C169" s="303" t="s">
        <v>288</v>
      </c>
      <c r="D169" s="303" t="s">
        <v>1348</v>
      </c>
      <c r="E169" s="309"/>
      <c r="F169" s="306">
        <v>1303151</v>
      </c>
      <c r="G169" s="304" t="s">
        <v>1100</v>
      </c>
      <c r="H169" s="307" t="s">
        <v>410</v>
      </c>
      <c r="I169" s="330" t="s">
        <v>269</v>
      </c>
      <c r="J169" s="364">
        <v>2.25</v>
      </c>
      <c r="K169" s="357">
        <v>0</v>
      </c>
      <c r="L169" s="357">
        <v>2.25</v>
      </c>
      <c r="M169" s="356">
        <v>25</v>
      </c>
      <c r="N169" s="357">
        <v>1423496</v>
      </c>
      <c r="O169" s="356"/>
      <c r="P169" s="356">
        <v>1423496</v>
      </c>
      <c r="Q169" s="357">
        <v>205000</v>
      </c>
      <c r="R169" s="357">
        <v>0</v>
      </c>
      <c r="S169" s="357">
        <v>205000</v>
      </c>
    </row>
    <row r="170" spans="1:19" ht="70.5" customHeight="1" x14ac:dyDescent="0.25">
      <c r="A170" s="305" t="s">
        <v>18</v>
      </c>
      <c r="B170" s="309" t="s">
        <v>408</v>
      </c>
      <c r="C170" s="303" t="s">
        <v>288</v>
      </c>
      <c r="D170" s="303" t="s">
        <v>1348</v>
      </c>
      <c r="E170" s="309"/>
      <c r="F170" s="306">
        <v>1020591</v>
      </c>
      <c r="G170" s="304" t="s">
        <v>1501</v>
      </c>
      <c r="H170" s="307" t="s">
        <v>409</v>
      </c>
      <c r="I170" s="330" t="s">
        <v>269</v>
      </c>
      <c r="J170" s="364">
        <v>2.65</v>
      </c>
      <c r="K170" s="357">
        <v>0</v>
      </c>
      <c r="L170" s="357">
        <v>2.65</v>
      </c>
      <c r="M170" s="356">
        <v>0</v>
      </c>
      <c r="N170" s="357">
        <v>2043000</v>
      </c>
      <c r="O170" s="356"/>
      <c r="P170" s="356">
        <v>2043000</v>
      </c>
      <c r="Q170" s="357">
        <v>242000</v>
      </c>
      <c r="R170" s="357">
        <v>0</v>
      </c>
      <c r="S170" s="357">
        <v>242000</v>
      </c>
    </row>
    <row r="171" spans="1:19" ht="70.5" customHeight="1" x14ac:dyDescent="0.25">
      <c r="A171" s="305" t="s">
        <v>18</v>
      </c>
      <c r="B171" s="309" t="s">
        <v>408</v>
      </c>
      <c r="C171" s="303" t="s">
        <v>288</v>
      </c>
      <c r="D171" s="303" t="s">
        <v>1348</v>
      </c>
      <c r="E171" s="309"/>
      <c r="F171" s="306">
        <v>1420566</v>
      </c>
      <c r="G171" s="304" t="s">
        <v>1502</v>
      </c>
      <c r="H171" s="307" t="s">
        <v>331</v>
      </c>
      <c r="I171" s="330" t="s">
        <v>294</v>
      </c>
      <c r="J171" s="364">
        <v>3</v>
      </c>
      <c r="K171" s="357">
        <v>0</v>
      </c>
      <c r="L171" s="357">
        <v>3</v>
      </c>
      <c r="M171" s="356">
        <v>0</v>
      </c>
      <c r="N171" s="357">
        <v>2219166</v>
      </c>
      <c r="O171" s="356"/>
      <c r="P171" s="356">
        <v>2219166</v>
      </c>
      <c r="Q171" s="357">
        <v>253000</v>
      </c>
      <c r="R171" s="357">
        <v>0</v>
      </c>
      <c r="S171" s="357">
        <v>253000</v>
      </c>
    </row>
    <row r="172" spans="1:19" ht="70.5" customHeight="1" x14ac:dyDescent="0.25">
      <c r="A172" s="305" t="s">
        <v>18</v>
      </c>
      <c r="B172" s="309" t="s">
        <v>408</v>
      </c>
      <c r="C172" s="303" t="s">
        <v>288</v>
      </c>
      <c r="D172" s="303" t="s">
        <v>1348</v>
      </c>
      <c r="E172" s="309"/>
      <c r="F172" s="306">
        <v>2481915</v>
      </c>
      <c r="G172" s="304" t="s">
        <v>1124</v>
      </c>
      <c r="H172" s="307" t="s">
        <v>409</v>
      </c>
      <c r="I172" s="330" t="s">
        <v>269</v>
      </c>
      <c r="J172" s="364">
        <v>3.5</v>
      </c>
      <c r="K172" s="357">
        <v>0</v>
      </c>
      <c r="L172" s="357">
        <v>3.5</v>
      </c>
      <c r="M172" s="356">
        <v>0</v>
      </c>
      <c r="N172" s="357">
        <v>2803592</v>
      </c>
      <c r="O172" s="356"/>
      <c r="P172" s="356">
        <v>2803592</v>
      </c>
      <c r="Q172" s="357">
        <v>319000</v>
      </c>
      <c r="R172" s="357">
        <v>0</v>
      </c>
      <c r="S172" s="357">
        <v>319000</v>
      </c>
    </row>
    <row r="173" spans="1:19" ht="70.5" customHeight="1" x14ac:dyDescent="0.25">
      <c r="A173" s="305" t="s">
        <v>18</v>
      </c>
      <c r="B173" s="309" t="s">
        <v>408</v>
      </c>
      <c r="C173" s="303" t="s">
        <v>288</v>
      </c>
      <c r="D173" s="303" t="s">
        <v>1348</v>
      </c>
      <c r="E173" s="309"/>
      <c r="F173" s="306">
        <v>5918012</v>
      </c>
      <c r="G173" s="304" t="s">
        <v>1503</v>
      </c>
      <c r="H173" s="307" t="s">
        <v>364</v>
      </c>
      <c r="I173" s="330" t="s">
        <v>278</v>
      </c>
      <c r="J173" s="364">
        <v>4.55</v>
      </c>
      <c r="K173" s="357">
        <v>0</v>
      </c>
      <c r="L173" s="357">
        <v>4.55</v>
      </c>
      <c r="M173" s="356">
        <v>36</v>
      </c>
      <c r="N173" s="357">
        <v>2589927</v>
      </c>
      <c r="O173" s="356"/>
      <c r="P173" s="356">
        <v>2589927</v>
      </c>
      <c r="Q173" s="357">
        <v>415000</v>
      </c>
      <c r="R173" s="357">
        <v>0</v>
      </c>
      <c r="S173" s="357">
        <v>415000</v>
      </c>
    </row>
    <row r="174" spans="1:19" ht="70.5" customHeight="1" x14ac:dyDescent="0.25">
      <c r="A174" s="305" t="s">
        <v>18</v>
      </c>
      <c r="B174" s="306" t="s">
        <v>408</v>
      </c>
      <c r="C174" s="303" t="s">
        <v>288</v>
      </c>
      <c r="D174" s="303" t="s">
        <v>1348</v>
      </c>
      <c r="E174" s="306"/>
      <c r="F174" s="306">
        <v>1775589</v>
      </c>
      <c r="G174" s="304" t="s">
        <v>1111</v>
      </c>
      <c r="H174" s="307" t="s">
        <v>331</v>
      </c>
      <c r="I174" s="330" t="s">
        <v>294</v>
      </c>
      <c r="J174" s="364">
        <v>6.1</v>
      </c>
      <c r="K174" s="357">
        <v>0</v>
      </c>
      <c r="L174" s="357">
        <v>6.1</v>
      </c>
      <c r="M174" s="356">
        <v>0</v>
      </c>
      <c r="N174" s="357">
        <v>3326005</v>
      </c>
      <c r="O174" s="356"/>
      <c r="P174" s="356">
        <v>3326005</v>
      </c>
      <c r="Q174" s="357">
        <v>503000</v>
      </c>
      <c r="R174" s="357">
        <v>0</v>
      </c>
      <c r="S174" s="357">
        <v>503000</v>
      </c>
    </row>
    <row r="175" spans="1:19" ht="70.5" customHeight="1" x14ac:dyDescent="0.25">
      <c r="A175" s="305" t="s">
        <v>97</v>
      </c>
      <c r="B175" s="306">
        <v>26623064</v>
      </c>
      <c r="C175" s="303" t="s">
        <v>374</v>
      </c>
      <c r="D175" s="303" t="s">
        <v>1349</v>
      </c>
      <c r="E175" s="306" t="s">
        <v>1118</v>
      </c>
      <c r="F175" s="306">
        <v>4319542</v>
      </c>
      <c r="G175" s="304" t="s">
        <v>1531</v>
      </c>
      <c r="H175" s="307" t="s">
        <v>308</v>
      </c>
      <c r="I175" s="330" t="s">
        <v>269</v>
      </c>
      <c r="J175" s="364">
        <v>0.21</v>
      </c>
      <c r="K175" s="357">
        <v>0</v>
      </c>
      <c r="L175" s="357">
        <v>0.21</v>
      </c>
      <c r="M175" s="356">
        <v>0</v>
      </c>
      <c r="N175" s="357">
        <v>0</v>
      </c>
      <c r="O175" s="356"/>
      <c r="P175" s="356">
        <v>0</v>
      </c>
      <c r="Q175" s="357">
        <v>26000</v>
      </c>
      <c r="R175" s="357">
        <v>0</v>
      </c>
      <c r="S175" s="357">
        <v>26000</v>
      </c>
    </row>
    <row r="176" spans="1:19" ht="70.5" customHeight="1" x14ac:dyDescent="0.25">
      <c r="A176" s="305" t="s">
        <v>97</v>
      </c>
      <c r="B176" s="306">
        <v>26623064</v>
      </c>
      <c r="C176" s="303" t="s">
        <v>374</v>
      </c>
      <c r="D176" s="303" t="s">
        <v>1349</v>
      </c>
      <c r="E176" s="306" t="s">
        <v>1118</v>
      </c>
      <c r="F176" s="306">
        <v>2284277</v>
      </c>
      <c r="G176" s="304" t="s">
        <v>1544</v>
      </c>
      <c r="H176" s="307" t="s">
        <v>268</v>
      </c>
      <c r="I176" s="330" t="s">
        <v>300</v>
      </c>
      <c r="J176" s="364">
        <v>0.26</v>
      </c>
      <c r="K176" s="357">
        <v>0</v>
      </c>
      <c r="L176" s="357">
        <v>0.26</v>
      </c>
      <c r="M176" s="356">
        <v>0</v>
      </c>
      <c r="N176" s="357">
        <v>0</v>
      </c>
      <c r="O176" s="356"/>
      <c r="P176" s="356">
        <v>0</v>
      </c>
      <c r="Q176" s="357">
        <v>19000</v>
      </c>
      <c r="R176" s="357">
        <v>0</v>
      </c>
      <c r="S176" s="357">
        <v>19000</v>
      </c>
    </row>
    <row r="177" spans="1:19" ht="70.5" customHeight="1" x14ac:dyDescent="0.25">
      <c r="A177" s="305" t="s">
        <v>97</v>
      </c>
      <c r="B177" s="306">
        <v>26623064</v>
      </c>
      <c r="C177" s="303" t="s">
        <v>374</v>
      </c>
      <c r="D177" s="303" t="s">
        <v>1349</v>
      </c>
      <c r="E177" s="306" t="s">
        <v>1118</v>
      </c>
      <c r="F177" s="306">
        <v>7472903</v>
      </c>
      <c r="G177" s="304" t="s">
        <v>1531</v>
      </c>
      <c r="H177" s="307" t="s">
        <v>314</v>
      </c>
      <c r="I177" s="330" t="s">
        <v>300</v>
      </c>
      <c r="J177" s="364">
        <v>0.3</v>
      </c>
      <c r="K177" s="357">
        <v>0</v>
      </c>
      <c r="L177" s="357">
        <v>0.3</v>
      </c>
      <c r="M177" s="356">
        <v>0</v>
      </c>
      <c r="N177" s="357">
        <v>0</v>
      </c>
      <c r="O177" s="356"/>
      <c r="P177" s="356">
        <v>0</v>
      </c>
      <c r="Q177" s="357">
        <v>36000</v>
      </c>
      <c r="R177" s="357">
        <v>0</v>
      </c>
      <c r="S177" s="357">
        <v>36000</v>
      </c>
    </row>
    <row r="178" spans="1:19" ht="70.5" customHeight="1" x14ac:dyDescent="0.25">
      <c r="A178" s="305" t="s">
        <v>97</v>
      </c>
      <c r="B178" s="306">
        <v>26623064</v>
      </c>
      <c r="C178" s="303" t="s">
        <v>374</v>
      </c>
      <c r="D178" s="303" t="s">
        <v>1349</v>
      </c>
      <c r="E178" s="306" t="s">
        <v>1118</v>
      </c>
      <c r="F178" s="306">
        <v>9864940</v>
      </c>
      <c r="G178" s="304" t="s">
        <v>1545</v>
      </c>
      <c r="H178" s="307" t="s">
        <v>283</v>
      </c>
      <c r="I178" s="330" t="s">
        <v>278</v>
      </c>
      <c r="J178" s="364">
        <v>0.39</v>
      </c>
      <c r="K178" s="357">
        <v>0</v>
      </c>
      <c r="L178" s="357">
        <v>0.39</v>
      </c>
      <c r="M178" s="356">
        <v>4</v>
      </c>
      <c r="N178" s="357">
        <v>0</v>
      </c>
      <c r="O178" s="356"/>
      <c r="P178" s="356">
        <v>0</v>
      </c>
      <c r="Q178" s="357">
        <v>37000</v>
      </c>
      <c r="R178" s="357">
        <v>0</v>
      </c>
      <c r="S178" s="357">
        <v>37000</v>
      </c>
    </row>
    <row r="179" spans="1:19" ht="70.5" customHeight="1" x14ac:dyDescent="0.25">
      <c r="A179" s="305" t="s">
        <v>97</v>
      </c>
      <c r="B179" s="306">
        <v>26623064</v>
      </c>
      <c r="C179" s="303" t="s">
        <v>374</v>
      </c>
      <c r="D179" s="303" t="s">
        <v>1349</v>
      </c>
      <c r="E179" s="306"/>
      <c r="F179" s="306">
        <v>1201824</v>
      </c>
      <c r="G179" s="304" t="s">
        <v>1505</v>
      </c>
      <c r="H179" s="307" t="s">
        <v>337</v>
      </c>
      <c r="I179" s="330" t="s">
        <v>278</v>
      </c>
      <c r="J179" s="364">
        <v>0.6</v>
      </c>
      <c r="K179" s="357">
        <v>0</v>
      </c>
      <c r="L179" s="357">
        <v>0.6</v>
      </c>
      <c r="M179" s="356">
        <v>2</v>
      </c>
      <c r="N179" s="357">
        <v>306000</v>
      </c>
      <c r="O179" s="356"/>
      <c r="P179" s="356">
        <v>306000</v>
      </c>
      <c r="Q179" s="357">
        <v>50000</v>
      </c>
      <c r="R179" s="357">
        <v>0</v>
      </c>
      <c r="S179" s="357">
        <v>50000</v>
      </c>
    </row>
    <row r="180" spans="1:19" ht="70.5" customHeight="1" x14ac:dyDescent="0.25">
      <c r="A180" s="305" t="s">
        <v>120</v>
      </c>
      <c r="B180" s="306">
        <v>27323773</v>
      </c>
      <c r="C180" s="303" t="s">
        <v>318</v>
      </c>
      <c r="D180" s="303" t="s">
        <v>1350</v>
      </c>
      <c r="E180" s="306"/>
      <c r="F180" s="306">
        <v>6224406</v>
      </c>
      <c r="G180" s="304" t="s">
        <v>1506</v>
      </c>
      <c r="H180" s="307" t="s">
        <v>364</v>
      </c>
      <c r="I180" s="330" t="s">
        <v>278</v>
      </c>
      <c r="J180" s="364">
        <v>6</v>
      </c>
      <c r="K180" s="357">
        <v>0</v>
      </c>
      <c r="L180" s="357">
        <v>6</v>
      </c>
      <c r="M180" s="356">
        <v>25</v>
      </c>
      <c r="N180" s="357">
        <v>3343050</v>
      </c>
      <c r="O180" s="356"/>
      <c r="P180" s="356">
        <v>3343050</v>
      </c>
      <c r="Q180" s="357">
        <v>510000</v>
      </c>
      <c r="R180" s="357">
        <v>0</v>
      </c>
      <c r="S180" s="357">
        <v>510000</v>
      </c>
    </row>
    <row r="181" spans="1:19" ht="70.5" customHeight="1" x14ac:dyDescent="0.25">
      <c r="A181" s="305" t="s">
        <v>411</v>
      </c>
      <c r="B181" s="306">
        <v>27323773</v>
      </c>
      <c r="C181" s="303" t="s">
        <v>318</v>
      </c>
      <c r="D181" s="303" t="s">
        <v>1350</v>
      </c>
      <c r="E181" s="306"/>
      <c r="F181" s="306">
        <v>7228496</v>
      </c>
      <c r="G181" s="304" t="s">
        <v>1507</v>
      </c>
      <c r="H181" s="307" t="s">
        <v>364</v>
      </c>
      <c r="I181" s="330" t="s">
        <v>278</v>
      </c>
      <c r="J181" s="364">
        <v>7.2</v>
      </c>
      <c r="K181" s="357">
        <v>0</v>
      </c>
      <c r="L181" s="357">
        <v>7.2</v>
      </c>
      <c r="M181" s="356">
        <v>22</v>
      </c>
      <c r="N181" s="357">
        <v>3420260</v>
      </c>
      <c r="O181" s="356"/>
      <c r="P181" s="356">
        <v>3420260</v>
      </c>
      <c r="Q181" s="357">
        <v>510000</v>
      </c>
      <c r="R181" s="357">
        <v>0</v>
      </c>
      <c r="S181" s="357">
        <v>510000</v>
      </c>
    </row>
    <row r="182" spans="1:19" ht="70.5" customHeight="1" x14ac:dyDescent="0.25">
      <c r="A182" s="305" t="s">
        <v>412</v>
      </c>
      <c r="B182" s="306" t="s">
        <v>413</v>
      </c>
      <c r="C182" s="303" t="s">
        <v>324</v>
      </c>
      <c r="D182" s="303" t="s">
        <v>1351</v>
      </c>
      <c r="E182" s="306"/>
      <c r="F182" s="306">
        <v>3702507</v>
      </c>
      <c r="G182" s="304" t="s">
        <v>1508</v>
      </c>
      <c r="H182" s="307" t="s">
        <v>414</v>
      </c>
      <c r="I182" s="330" t="s">
        <v>278</v>
      </c>
      <c r="J182" s="364">
        <v>3.03</v>
      </c>
      <c r="K182" s="357">
        <v>0</v>
      </c>
      <c r="L182" s="357">
        <v>3.03</v>
      </c>
      <c r="M182" s="356">
        <v>5</v>
      </c>
      <c r="N182" s="357">
        <v>840000</v>
      </c>
      <c r="O182" s="356"/>
      <c r="P182" s="356">
        <v>840000</v>
      </c>
      <c r="Q182" s="357" t="s">
        <v>814</v>
      </c>
      <c r="R182" s="357">
        <v>0</v>
      </c>
      <c r="S182" s="357">
        <v>0</v>
      </c>
    </row>
    <row r="183" spans="1:19" ht="70.5" customHeight="1" x14ac:dyDescent="0.25">
      <c r="A183" s="311" t="s">
        <v>415</v>
      </c>
      <c r="B183" s="306" t="s">
        <v>416</v>
      </c>
      <c r="C183" s="303" t="s">
        <v>324</v>
      </c>
      <c r="D183" s="303" t="s">
        <v>1352</v>
      </c>
      <c r="E183" s="306"/>
      <c r="F183" s="306">
        <v>3682159</v>
      </c>
      <c r="G183" s="304" t="s">
        <v>1509</v>
      </c>
      <c r="H183" s="307" t="s">
        <v>414</v>
      </c>
      <c r="I183" s="330" t="s">
        <v>278</v>
      </c>
      <c r="J183" s="364">
        <v>2.5</v>
      </c>
      <c r="K183" s="357">
        <v>0</v>
      </c>
      <c r="L183" s="357">
        <v>2.5</v>
      </c>
      <c r="M183" s="356">
        <v>4</v>
      </c>
      <c r="N183" s="357">
        <v>672000</v>
      </c>
      <c r="O183" s="356"/>
      <c r="P183" s="356">
        <v>672000</v>
      </c>
      <c r="Q183" s="357" t="s">
        <v>814</v>
      </c>
      <c r="R183" s="357">
        <v>0</v>
      </c>
      <c r="S183" s="357">
        <v>0</v>
      </c>
    </row>
    <row r="184" spans="1:19" ht="70.5" customHeight="1" x14ac:dyDescent="0.25">
      <c r="A184" s="305" t="s">
        <v>417</v>
      </c>
      <c r="B184" s="306">
        <v>27283518</v>
      </c>
      <c r="C184" s="303" t="s">
        <v>282</v>
      </c>
      <c r="D184" s="303" t="s">
        <v>1444</v>
      </c>
      <c r="E184" s="306"/>
      <c r="F184" s="306">
        <v>4501907</v>
      </c>
      <c r="G184" s="304" t="s">
        <v>1172</v>
      </c>
      <c r="H184" s="307" t="s">
        <v>414</v>
      </c>
      <c r="I184" s="330" t="s">
        <v>278</v>
      </c>
      <c r="J184" s="364">
        <v>0.4</v>
      </c>
      <c r="K184" s="357">
        <v>0</v>
      </c>
      <c r="L184" s="357">
        <v>0.4</v>
      </c>
      <c r="M184" s="356">
        <v>5</v>
      </c>
      <c r="N184" s="357">
        <v>0</v>
      </c>
      <c r="O184" s="356"/>
      <c r="P184" s="356">
        <v>0</v>
      </c>
      <c r="Q184" s="357" t="s">
        <v>814</v>
      </c>
      <c r="R184" s="357">
        <v>0</v>
      </c>
      <c r="S184" s="357">
        <v>0</v>
      </c>
    </row>
    <row r="185" spans="1:19" ht="70.5" customHeight="1" x14ac:dyDescent="0.25">
      <c r="A185" s="305" t="s">
        <v>136</v>
      </c>
      <c r="B185" s="306">
        <v>26636328</v>
      </c>
      <c r="C185" s="303" t="s">
        <v>288</v>
      </c>
      <c r="D185" s="303" t="s">
        <v>1354</v>
      </c>
      <c r="E185" s="306"/>
      <c r="F185" s="306">
        <v>8054292</v>
      </c>
      <c r="G185" s="304" t="s">
        <v>854</v>
      </c>
      <c r="H185" s="307" t="s">
        <v>308</v>
      </c>
      <c r="I185" s="330" t="s">
        <v>300</v>
      </c>
      <c r="J185" s="364">
        <v>1.95</v>
      </c>
      <c r="K185" s="357">
        <v>0</v>
      </c>
      <c r="L185" s="357">
        <v>1.95</v>
      </c>
      <c r="M185" s="356">
        <v>0</v>
      </c>
      <c r="N185" s="357">
        <v>1263600</v>
      </c>
      <c r="O185" s="356"/>
      <c r="P185" s="356">
        <v>1263600</v>
      </c>
      <c r="Q185" s="357">
        <v>131000</v>
      </c>
      <c r="R185" s="357">
        <v>0</v>
      </c>
      <c r="S185" s="357">
        <v>131000</v>
      </c>
    </row>
    <row r="186" spans="1:19" ht="70.5" customHeight="1" x14ac:dyDescent="0.25">
      <c r="A186" s="305" t="s">
        <v>136</v>
      </c>
      <c r="B186" s="306">
        <v>26636328</v>
      </c>
      <c r="C186" s="303" t="s">
        <v>288</v>
      </c>
      <c r="D186" s="303" t="s">
        <v>1354</v>
      </c>
      <c r="E186" s="306"/>
      <c r="F186" s="306">
        <v>6374958</v>
      </c>
      <c r="G186" s="304" t="s">
        <v>840</v>
      </c>
      <c r="H186" s="307" t="s">
        <v>314</v>
      </c>
      <c r="I186" s="330" t="s">
        <v>300</v>
      </c>
      <c r="J186" s="364">
        <v>2.25</v>
      </c>
      <c r="K186" s="357">
        <v>0</v>
      </c>
      <c r="L186" s="357">
        <v>2.25</v>
      </c>
      <c r="M186" s="356">
        <v>0</v>
      </c>
      <c r="N186" s="357">
        <v>1540013</v>
      </c>
      <c r="O186" s="356"/>
      <c r="P186" s="356">
        <v>1540013</v>
      </c>
      <c r="Q186" s="357">
        <v>194000</v>
      </c>
      <c r="R186" s="357">
        <v>0</v>
      </c>
      <c r="S186" s="357">
        <v>194000</v>
      </c>
    </row>
    <row r="187" spans="1:19" ht="70.5" customHeight="1" x14ac:dyDescent="0.25">
      <c r="A187" s="305" t="s">
        <v>136</v>
      </c>
      <c r="B187" s="306">
        <v>26636328</v>
      </c>
      <c r="C187" s="303" t="s">
        <v>288</v>
      </c>
      <c r="D187" s="303" t="s">
        <v>1354</v>
      </c>
      <c r="E187" s="306"/>
      <c r="F187" s="306">
        <v>8791447</v>
      </c>
      <c r="G187" s="304" t="s">
        <v>813</v>
      </c>
      <c r="H187" s="307" t="s">
        <v>268</v>
      </c>
      <c r="I187" s="330" t="s">
        <v>300</v>
      </c>
      <c r="J187" s="364">
        <v>1.2</v>
      </c>
      <c r="K187" s="357">
        <v>0</v>
      </c>
      <c r="L187" s="357">
        <v>1.2</v>
      </c>
      <c r="M187" s="356">
        <v>0</v>
      </c>
      <c r="N187" s="357">
        <v>779760</v>
      </c>
      <c r="O187" s="356"/>
      <c r="P187" s="356">
        <v>779760</v>
      </c>
      <c r="Q187" s="357">
        <v>86000</v>
      </c>
      <c r="R187" s="357">
        <v>0</v>
      </c>
      <c r="S187" s="357">
        <v>86000</v>
      </c>
    </row>
    <row r="188" spans="1:19" ht="70.5" customHeight="1" x14ac:dyDescent="0.25">
      <c r="A188" s="305" t="s">
        <v>136</v>
      </c>
      <c r="B188" s="306">
        <v>26636328</v>
      </c>
      <c r="C188" s="303" t="s">
        <v>288</v>
      </c>
      <c r="D188" s="303" t="s">
        <v>1354</v>
      </c>
      <c r="E188" s="306"/>
      <c r="F188" s="306">
        <v>5063729</v>
      </c>
      <c r="G188" s="304" t="s">
        <v>858</v>
      </c>
      <c r="H188" s="307" t="s">
        <v>331</v>
      </c>
      <c r="I188" s="330" t="s">
        <v>294</v>
      </c>
      <c r="J188" s="364">
        <v>1.2</v>
      </c>
      <c r="K188" s="357">
        <v>0</v>
      </c>
      <c r="L188" s="357">
        <v>1.2</v>
      </c>
      <c r="M188" s="356">
        <v>0</v>
      </c>
      <c r="N188" s="357">
        <v>842400</v>
      </c>
      <c r="O188" s="356"/>
      <c r="P188" s="356">
        <v>842400</v>
      </c>
      <c r="Q188" s="357">
        <v>83000</v>
      </c>
      <c r="R188" s="357">
        <v>0</v>
      </c>
      <c r="S188" s="357">
        <v>83000</v>
      </c>
    </row>
    <row r="189" spans="1:19" ht="70.5" customHeight="1" x14ac:dyDescent="0.25">
      <c r="A189" s="305" t="s">
        <v>136</v>
      </c>
      <c r="B189" s="306">
        <v>26636328</v>
      </c>
      <c r="C189" s="303" t="s">
        <v>288</v>
      </c>
      <c r="D189" s="303" t="s">
        <v>1354</v>
      </c>
      <c r="E189" s="306"/>
      <c r="F189" s="306">
        <v>3910140</v>
      </c>
      <c r="G189" s="304" t="s">
        <v>1510</v>
      </c>
      <c r="H189" s="307" t="s">
        <v>314</v>
      </c>
      <c r="I189" s="330" t="s">
        <v>300</v>
      </c>
      <c r="J189" s="364">
        <v>5</v>
      </c>
      <c r="K189" s="357">
        <v>0</v>
      </c>
      <c r="L189" s="357">
        <v>5</v>
      </c>
      <c r="M189" s="356">
        <v>0</v>
      </c>
      <c r="N189" s="357">
        <v>3422250</v>
      </c>
      <c r="O189" s="356"/>
      <c r="P189" s="356">
        <v>3422250</v>
      </c>
      <c r="Q189" s="357">
        <v>365000</v>
      </c>
      <c r="R189" s="357">
        <v>0</v>
      </c>
      <c r="S189" s="357">
        <v>365000</v>
      </c>
    </row>
    <row r="190" spans="1:19" ht="70.5" customHeight="1" x14ac:dyDescent="0.25">
      <c r="A190" s="305" t="s">
        <v>418</v>
      </c>
      <c r="B190" s="309" t="s">
        <v>419</v>
      </c>
      <c r="C190" s="303" t="s">
        <v>379</v>
      </c>
      <c r="D190" s="303" t="s">
        <v>1355</v>
      </c>
      <c r="E190" s="309"/>
      <c r="F190" s="306">
        <v>7177985</v>
      </c>
      <c r="G190" s="304" t="s">
        <v>1211</v>
      </c>
      <c r="H190" s="307" t="s">
        <v>325</v>
      </c>
      <c r="I190" s="330" t="s">
        <v>294</v>
      </c>
      <c r="J190" s="364">
        <v>3.6</v>
      </c>
      <c r="K190" s="357">
        <v>0</v>
      </c>
      <c r="L190" s="357">
        <v>3.6</v>
      </c>
      <c r="M190" s="356">
        <v>0</v>
      </c>
      <c r="N190" s="357">
        <v>2000035</v>
      </c>
      <c r="O190" s="356"/>
      <c r="P190" s="356">
        <v>2000035</v>
      </c>
      <c r="Q190" s="357" t="s">
        <v>814</v>
      </c>
      <c r="R190" s="357">
        <v>0</v>
      </c>
      <c r="S190" s="357">
        <v>0</v>
      </c>
    </row>
    <row r="191" spans="1:19" ht="70.5" customHeight="1" x14ac:dyDescent="0.25">
      <c r="A191" s="305" t="s">
        <v>422</v>
      </c>
      <c r="B191" s="309" t="s">
        <v>423</v>
      </c>
      <c r="C191" s="303" t="s">
        <v>379</v>
      </c>
      <c r="D191" s="303" t="s">
        <v>1356</v>
      </c>
      <c r="E191" s="309"/>
      <c r="F191" s="306">
        <v>3415850</v>
      </c>
      <c r="G191" s="304" t="s">
        <v>1472</v>
      </c>
      <c r="H191" s="307" t="s">
        <v>325</v>
      </c>
      <c r="I191" s="330" t="s">
        <v>294</v>
      </c>
      <c r="J191" s="364">
        <v>2.7</v>
      </c>
      <c r="K191" s="357">
        <v>0</v>
      </c>
      <c r="L191" s="357">
        <v>2.7</v>
      </c>
      <c r="M191" s="356">
        <v>0</v>
      </c>
      <c r="N191" s="357">
        <v>1140114</v>
      </c>
      <c r="O191" s="356"/>
      <c r="P191" s="356">
        <v>1140114</v>
      </c>
      <c r="Q191" s="357" t="s">
        <v>814</v>
      </c>
      <c r="R191" s="357">
        <v>0</v>
      </c>
      <c r="S191" s="357">
        <v>0</v>
      </c>
    </row>
    <row r="192" spans="1:19" ht="70.5" customHeight="1" x14ac:dyDescent="0.25">
      <c r="A192" s="311" t="s">
        <v>424</v>
      </c>
      <c r="B192" s="312" t="s">
        <v>425</v>
      </c>
      <c r="C192" s="303" t="s">
        <v>379</v>
      </c>
      <c r="D192" s="303" t="s">
        <v>1357</v>
      </c>
      <c r="E192" s="312"/>
      <c r="F192" s="312">
        <v>3005927</v>
      </c>
      <c r="G192" s="304" t="s">
        <v>1137</v>
      </c>
      <c r="H192" s="307" t="s">
        <v>325</v>
      </c>
      <c r="I192" s="331" t="s">
        <v>294</v>
      </c>
      <c r="J192" s="364">
        <v>1.6</v>
      </c>
      <c r="K192" s="357">
        <v>0</v>
      </c>
      <c r="L192" s="357">
        <v>1.6</v>
      </c>
      <c r="M192" s="356">
        <v>0</v>
      </c>
      <c r="N192" s="357">
        <v>423296</v>
      </c>
      <c r="O192" s="356"/>
      <c r="P192" s="356">
        <v>423296</v>
      </c>
      <c r="Q192" s="357" t="s">
        <v>814</v>
      </c>
      <c r="R192" s="357">
        <v>0</v>
      </c>
      <c r="S192" s="357">
        <v>0</v>
      </c>
    </row>
    <row r="193" spans="1:19" ht="70.5" customHeight="1" x14ac:dyDescent="0.25">
      <c r="A193" s="305" t="s">
        <v>426</v>
      </c>
      <c r="B193" s="306" t="s">
        <v>427</v>
      </c>
      <c r="C193" s="303" t="s">
        <v>379</v>
      </c>
      <c r="D193" s="303" t="s">
        <v>1358</v>
      </c>
      <c r="E193" s="306"/>
      <c r="F193" s="306">
        <v>3977219</v>
      </c>
      <c r="G193" s="304" t="s">
        <v>1511</v>
      </c>
      <c r="H193" s="307" t="s">
        <v>325</v>
      </c>
      <c r="I193" s="330" t="s">
        <v>294</v>
      </c>
      <c r="J193" s="364">
        <v>2</v>
      </c>
      <c r="K193" s="357">
        <v>0</v>
      </c>
      <c r="L193" s="357">
        <v>2</v>
      </c>
      <c r="M193" s="356">
        <v>0</v>
      </c>
      <c r="N193" s="357">
        <v>365340</v>
      </c>
      <c r="O193" s="356"/>
      <c r="P193" s="356">
        <v>365340</v>
      </c>
      <c r="Q193" s="357" t="s">
        <v>814</v>
      </c>
      <c r="R193" s="357">
        <v>0</v>
      </c>
      <c r="S193" s="357">
        <v>0</v>
      </c>
    </row>
    <row r="194" spans="1:19" ht="70.5" customHeight="1" x14ac:dyDescent="0.25">
      <c r="A194" s="305" t="s">
        <v>146</v>
      </c>
      <c r="B194" s="306">
        <v>73633755</v>
      </c>
      <c r="C194" s="303" t="s">
        <v>340</v>
      </c>
      <c r="D194" s="303" t="s">
        <v>1359</v>
      </c>
      <c r="E194" s="306"/>
      <c r="F194" s="306">
        <v>4785596</v>
      </c>
      <c r="G194" s="304" t="s">
        <v>1512</v>
      </c>
      <c r="H194" s="307" t="s">
        <v>1416</v>
      </c>
      <c r="I194" s="330" t="s">
        <v>278</v>
      </c>
      <c r="J194" s="364">
        <v>18</v>
      </c>
      <c r="K194" s="357">
        <v>0</v>
      </c>
      <c r="L194" s="357">
        <v>18</v>
      </c>
      <c r="M194" s="356">
        <v>8</v>
      </c>
      <c r="N194" s="357">
        <v>13131750</v>
      </c>
      <c r="O194" s="356"/>
      <c r="P194" s="356">
        <v>13131750</v>
      </c>
      <c r="Q194" s="357">
        <v>1513000</v>
      </c>
      <c r="R194" s="357">
        <v>0</v>
      </c>
      <c r="S194" s="357">
        <v>1513000</v>
      </c>
    </row>
    <row r="195" spans="1:19" ht="70.5" customHeight="1" x14ac:dyDescent="0.25">
      <c r="A195" s="305" t="s">
        <v>433</v>
      </c>
      <c r="B195" s="306">
        <v>48282944</v>
      </c>
      <c r="C195" s="303" t="s">
        <v>296</v>
      </c>
      <c r="D195" s="303" t="s">
        <v>1360</v>
      </c>
      <c r="E195" s="306" t="s">
        <v>1101</v>
      </c>
      <c r="F195" s="306">
        <v>7759833</v>
      </c>
      <c r="G195" s="304" t="s">
        <v>433</v>
      </c>
      <c r="H195" s="307" t="s">
        <v>298</v>
      </c>
      <c r="I195" s="330" t="s">
        <v>278</v>
      </c>
      <c r="J195" s="364">
        <v>42.75</v>
      </c>
      <c r="K195" s="357">
        <v>0</v>
      </c>
      <c r="L195" s="357">
        <v>42.75</v>
      </c>
      <c r="M195" s="356">
        <v>30</v>
      </c>
      <c r="N195" s="357">
        <v>18313800</v>
      </c>
      <c r="O195" s="356"/>
      <c r="P195" s="356">
        <v>18313800</v>
      </c>
      <c r="Q195" s="357" t="s">
        <v>814</v>
      </c>
      <c r="R195" s="357">
        <v>0</v>
      </c>
      <c r="S195" s="357">
        <v>0</v>
      </c>
    </row>
    <row r="196" spans="1:19" ht="70.5" customHeight="1" x14ac:dyDescent="0.25">
      <c r="A196" s="305" t="s">
        <v>435</v>
      </c>
      <c r="B196" s="309">
        <v>72744723</v>
      </c>
      <c r="C196" s="303" t="s">
        <v>324</v>
      </c>
      <c r="D196" s="303" t="s">
        <v>1362</v>
      </c>
      <c r="E196" s="309"/>
      <c r="F196" s="306">
        <v>6191395</v>
      </c>
      <c r="G196" s="304" t="s">
        <v>847</v>
      </c>
      <c r="H196" s="307" t="s">
        <v>325</v>
      </c>
      <c r="I196" s="330" t="s">
        <v>300</v>
      </c>
      <c r="J196" s="364">
        <v>6.5</v>
      </c>
      <c r="K196" s="357">
        <v>0</v>
      </c>
      <c r="L196" s="357">
        <v>6.5</v>
      </c>
      <c r="M196" s="356">
        <v>0</v>
      </c>
      <c r="N196" s="357">
        <v>2611259</v>
      </c>
      <c r="O196" s="356"/>
      <c r="P196" s="356">
        <v>2611259</v>
      </c>
      <c r="Q196" s="357" t="s">
        <v>814</v>
      </c>
      <c r="R196" s="357">
        <v>0</v>
      </c>
      <c r="S196" s="357">
        <v>0</v>
      </c>
    </row>
    <row r="197" spans="1:19" ht="70.5" customHeight="1" x14ac:dyDescent="0.25">
      <c r="A197" s="305" t="s">
        <v>436</v>
      </c>
      <c r="B197" s="309">
        <v>71177248</v>
      </c>
      <c r="C197" s="303" t="s">
        <v>324</v>
      </c>
      <c r="D197" s="303" t="s">
        <v>1363</v>
      </c>
      <c r="E197" s="309"/>
      <c r="F197" s="306">
        <v>5475959</v>
      </c>
      <c r="G197" s="304" t="s">
        <v>1092</v>
      </c>
      <c r="H197" s="307" t="s">
        <v>325</v>
      </c>
      <c r="I197" s="330" t="s">
        <v>300</v>
      </c>
      <c r="J197" s="364">
        <v>5</v>
      </c>
      <c r="K197" s="357">
        <v>0</v>
      </c>
      <c r="L197" s="357">
        <v>5</v>
      </c>
      <c r="M197" s="356">
        <v>0</v>
      </c>
      <c r="N197" s="357">
        <v>2500000</v>
      </c>
      <c r="O197" s="356"/>
      <c r="P197" s="356">
        <v>2500000</v>
      </c>
      <c r="Q197" s="357" t="s">
        <v>814</v>
      </c>
      <c r="R197" s="357">
        <v>0</v>
      </c>
      <c r="S197" s="357">
        <v>0</v>
      </c>
    </row>
    <row r="198" spans="1:19" ht="70.5" customHeight="1" x14ac:dyDescent="0.25">
      <c r="A198" s="305" t="s">
        <v>437</v>
      </c>
      <c r="B198" s="309" t="s">
        <v>1407</v>
      </c>
      <c r="C198" s="303" t="s">
        <v>324</v>
      </c>
      <c r="D198" s="303" t="s">
        <v>1364</v>
      </c>
      <c r="E198" s="309"/>
      <c r="F198" s="306">
        <v>7663161</v>
      </c>
      <c r="G198" s="304" t="s">
        <v>437</v>
      </c>
      <c r="H198" s="307" t="s">
        <v>325</v>
      </c>
      <c r="I198" s="330" t="s">
        <v>294</v>
      </c>
      <c r="J198" s="364">
        <v>9</v>
      </c>
      <c r="K198" s="357">
        <v>0</v>
      </c>
      <c r="L198" s="357">
        <v>9</v>
      </c>
      <c r="M198" s="356">
        <v>0</v>
      </c>
      <c r="N198" s="357">
        <v>3390060</v>
      </c>
      <c r="O198" s="356"/>
      <c r="P198" s="356">
        <v>3390060</v>
      </c>
      <c r="Q198" s="357" t="s">
        <v>814</v>
      </c>
      <c r="R198" s="357">
        <v>0</v>
      </c>
      <c r="S198" s="357">
        <v>0</v>
      </c>
    </row>
    <row r="199" spans="1:19" ht="70.5" customHeight="1" x14ac:dyDescent="0.25">
      <c r="A199" s="305" t="s">
        <v>1408</v>
      </c>
      <c r="B199" s="306" t="s">
        <v>461</v>
      </c>
      <c r="C199" s="303" t="s">
        <v>302</v>
      </c>
      <c r="D199" s="303" t="s">
        <v>1431</v>
      </c>
      <c r="E199" s="306"/>
      <c r="F199" s="306">
        <v>5773192</v>
      </c>
      <c r="G199" s="304" t="s">
        <v>1408</v>
      </c>
      <c r="H199" s="307" t="s">
        <v>325</v>
      </c>
      <c r="I199" s="330" t="s">
        <v>294</v>
      </c>
      <c r="J199" s="364">
        <v>8.7200000000000006</v>
      </c>
      <c r="K199" s="357">
        <v>0</v>
      </c>
      <c r="L199" s="357">
        <v>8.7200000000000006</v>
      </c>
      <c r="M199" s="356">
        <v>0</v>
      </c>
      <c r="N199" s="357">
        <v>3897272</v>
      </c>
      <c r="O199" s="356"/>
      <c r="P199" s="356">
        <v>3897272</v>
      </c>
      <c r="Q199" s="357" t="s">
        <v>814</v>
      </c>
      <c r="R199" s="357">
        <v>0</v>
      </c>
      <c r="S199" s="357">
        <v>0</v>
      </c>
    </row>
    <row r="200" spans="1:19" ht="70.5" customHeight="1" x14ac:dyDescent="0.25">
      <c r="A200" s="305" t="s">
        <v>306</v>
      </c>
      <c r="B200" s="306" t="s">
        <v>1409</v>
      </c>
      <c r="C200" s="303" t="s">
        <v>374</v>
      </c>
      <c r="D200" s="303" t="s">
        <v>1366</v>
      </c>
      <c r="E200" s="306"/>
      <c r="F200" s="306">
        <v>1273599</v>
      </c>
      <c r="G200" s="304" t="s">
        <v>1513</v>
      </c>
      <c r="H200" s="307" t="s">
        <v>308</v>
      </c>
      <c r="I200" s="330" t="s">
        <v>300</v>
      </c>
      <c r="J200" s="364">
        <v>3</v>
      </c>
      <c r="K200" s="357">
        <v>0</v>
      </c>
      <c r="L200" s="357">
        <v>3</v>
      </c>
      <c r="M200" s="356">
        <v>0</v>
      </c>
      <c r="N200" s="357">
        <v>1836000</v>
      </c>
      <c r="O200" s="356"/>
      <c r="P200" s="356">
        <v>1836000</v>
      </c>
      <c r="Q200" s="357">
        <v>230000</v>
      </c>
      <c r="R200" s="357">
        <v>0</v>
      </c>
      <c r="S200" s="357">
        <v>230000</v>
      </c>
    </row>
    <row r="201" spans="1:19" ht="70.5" customHeight="1" x14ac:dyDescent="0.25">
      <c r="A201" s="305" t="s">
        <v>438</v>
      </c>
      <c r="B201" s="306">
        <v>25447726</v>
      </c>
      <c r="C201" s="303" t="s">
        <v>318</v>
      </c>
      <c r="D201" s="303" t="s">
        <v>1367</v>
      </c>
      <c r="E201" s="306"/>
      <c r="F201" s="306">
        <v>2049573</v>
      </c>
      <c r="G201" s="304" t="s">
        <v>1514</v>
      </c>
      <c r="H201" s="307" t="s">
        <v>321</v>
      </c>
      <c r="I201" s="330" t="s">
        <v>294</v>
      </c>
      <c r="J201" s="364">
        <v>29.75</v>
      </c>
      <c r="K201" s="357">
        <v>0</v>
      </c>
      <c r="L201" s="357">
        <v>29.75</v>
      </c>
      <c r="M201" s="356">
        <v>0</v>
      </c>
      <c r="N201" s="357">
        <v>15198000</v>
      </c>
      <c r="O201" s="356"/>
      <c r="P201" s="356">
        <v>15198000</v>
      </c>
      <c r="Q201" s="357">
        <v>1358000</v>
      </c>
      <c r="R201" s="357">
        <v>0</v>
      </c>
      <c r="S201" s="357">
        <v>1358000</v>
      </c>
    </row>
    <row r="202" spans="1:19" ht="70.5" customHeight="1" x14ac:dyDescent="0.25">
      <c r="A202" s="305" t="s">
        <v>210</v>
      </c>
      <c r="B202" s="306">
        <v>27004295</v>
      </c>
      <c r="C202" s="303" t="s">
        <v>374</v>
      </c>
      <c r="D202" s="303" t="s">
        <v>1368</v>
      </c>
      <c r="E202" s="306"/>
      <c r="F202" s="306">
        <v>3912232</v>
      </c>
      <c r="G202" s="304" t="s">
        <v>1515</v>
      </c>
      <c r="H202" s="307" t="s">
        <v>314</v>
      </c>
      <c r="I202" s="330" t="s">
        <v>300</v>
      </c>
      <c r="J202" s="364">
        <v>1</v>
      </c>
      <c r="K202" s="357">
        <v>1</v>
      </c>
      <c r="L202" s="357">
        <v>2</v>
      </c>
      <c r="M202" s="356">
        <v>0</v>
      </c>
      <c r="N202" s="357">
        <v>631256</v>
      </c>
      <c r="O202" s="356"/>
      <c r="P202" s="356">
        <v>631256</v>
      </c>
      <c r="Q202" s="357">
        <v>151000</v>
      </c>
      <c r="R202" s="357">
        <v>0</v>
      </c>
      <c r="S202" s="357">
        <v>151000</v>
      </c>
    </row>
    <row r="203" spans="1:19" ht="70.5" customHeight="1" x14ac:dyDescent="0.25">
      <c r="A203" s="305" t="s">
        <v>210</v>
      </c>
      <c r="B203" s="306">
        <v>27004295</v>
      </c>
      <c r="C203" s="303" t="s">
        <v>374</v>
      </c>
      <c r="D203" s="303" t="s">
        <v>1368</v>
      </c>
      <c r="E203" s="306"/>
      <c r="F203" s="306">
        <v>8466886</v>
      </c>
      <c r="G203" s="304" t="s">
        <v>1251</v>
      </c>
      <c r="H203" s="307" t="s">
        <v>268</v>
      </c>
      <c r="I203" s="330" t="s">
        <v>300</v>
      </c>
      <c r="J203" s="364">
        <v>2</v>
      </c>
      <c r="K203" s="357">
        <v>2</v>
      </c>
      <c r="L203" s="357">
        <v>4</v>
      </c>
      <c r="M203" s="356">
        <v>0</v>
      </c>
      <c r="N203" s="357">
        <v>1387618</v>
      </c>
      <c r="O203" s="356"/>
      <c r="P203" s="356">
        <v>1387618</v>
      </c>
      <c r="Q203" s="357">
        <v>287000</v>
      </c>
      <c r="R203" s="357">
        <v>0</v>
      </c>
      <c r="S203" s="357">
        <v>287000</v>
      </c>
    </row>
    <row r="204" spans="1:19" ht="70.5" customHeight="1" x14ac:dyDescent="0.25">
      <c r="A204" s="305" t="s">
        <v>210</v>
      </c>
      <c r="B204" s="306">
        <v>27004295</v>
      </c>
      <c r="C204" s="303" t="s">
        <v>374</v>
      </c>
      <c r="D204" s="303" t="s">
        <v>1368</v>
      </c>
      <c r="E204" s="306"/>
      <c r="F204" s="306">
        <v>2930990</v>
      </c>
      <c r="G204" s="304" t="s">
        <v>1135</v>
      </c>
      <c r="H204" s="307" t="s">
        <v>330</v>
      </c>
      <c r="I204" s="330" t="s">
        <v>300</v>
      </c>
      <c r="J204" s="364">
        <v>5</v>
      </c>
      <c r="K204" s="357">
        <v>1</v>
      </c>
      <c r="L204" s="357">
        <v>6</v>
      </c>
      <c r="M204" s="356">
        <v>0</v>
      </c>
      <c r="N204" s="357">
        <v>3312237</v>
      </c>
      <c r="O204" s="356"/>
      <c r="P204" s="356">
        <v>3312237</v>
      </c>
      <c r="Q204" s="357">
        <v>417000</v>
      </c>
      <c r="R204" s="357">
        <v>0</v>
      </c>
      <c r="S204" s="357">
        <v>417000</v>
      </c>
    </row>
    <row r="205" spans="1:19" ht="70.5" customHeight="1" x14ac:dyDescent="0.25">
      <c r="A205" s="305" t="s">
        <v>56</v>
      </c>
      <c r="B205" s="306">
        <v>22829903</v>
      </c>
      <c r="C205" s="303" t="s">
        <v>374</v>
      </c>
      <c r="D205" s="303" t="s">
        <v>1369</v>
      </c>
      <c r="E205" s="306"/>
      <c r="F205" s="306">
        <v>8419868</v>
      </c>
      <c r="G205" s="304" t="s">
        <v>1217</v>
      </c>
      <c r="H205" s="307" t="s">
        <v>321</v>
      </c>
      <c r="I205" s="330" t="s">
        <v>294</v>
      </c>
      <c r="J205" s="364">
        <v>20.3</v>
      </c>
      <c r="K205" s="357">
        <v>0</v>
      </c>
      <c r="L205" s="357">
        <v>20.3</v>
      </c>
      <c r="M205" s="356">
        <v>0</v>
      </c>
      <c r="N205" s="357">
        <v>10710000</v>
      </c>
      <c r="O205" s="356"/>
      <c r="P205" s="356">
        <v>10710000</v>
      </c>
      <c r="Q205" s="357">
        <v>970000</v>
      </c>
      <c r="R205" s="357">
        <v>0</v>
      </c>
      <c r="S205" s="357">
        <v>970000</v>
      </c>
    </row>
    <row r="206" spans="1:19" ht="70.5" customHeight="1" x14ac:dyDescent="0.25">
      <c r="A206" s="305" t="s">
        <v>56</v>
      </c>
      <c r="B206" s="306">
        <v>22829903</v>
      </c>
      <c r="C206" s="303" t="s">
        <v>374</v>
      </c>
      <c r="D206" s="303" t="s">
        <v>1369</v>
      </c>
      <c r="E206" s="306"/>
      <c r="F206" s="306">
        <v>5391602</v>
      </c>
      <c r="G206" s="304" t="s">
        <v>1189</v>
      </c>
      <c r="H206" s="307" t="s">
        <v>290</v>
      </c>
      <c r="I206" s="330" t="s">
        <v>278</v>
      </c>
      <c r="J206" s="364">
        <v>23</v>
      </c>
      <c r="K206" s="357">
        <v>0</v>
      </c>
      <c r="L206" s="357">
        <v>23</v>
      </c>
      <c r="M206" s="356">
        <v>36</v>
      </c>
      <c r="N206" s="357">
        <v>9475794</v>
      </c>
      <c r="O206" s="356"/>
      <c r="P206" s="356">
        <v>9475794</v>
      </c>
      <c r="Q206" s="357">
        <v>870000</v>
      </c>
      <c r="R206" s="357">
        <v>0</v>
      </c>
      <c r="S206" s="357">
        <v>870000</v>
      </c>
    </row>
    <row r="207" spans="1:19" ht="70.5" customHeight="1" x14ac:dyDescent="0.25">
      <c r="A207" s="305" t="s">
        <v>174</v>
      </c>
      <c r="B207" s="306">
        <v>26537036</v>
      </c>
      <c r="C207" s="303" t="s">
        <v>318</v>
      </c>
      <c r="D207" s="303" t="s">
        <v>1370</v>
      </c>
      <c r="E207" s="306"/>
      <c r="F207" s="306">
        <v>1464519</v>
      </c>
      <c r="G207" s="304" t="s">
        <v>1105</v>
      </c>
      <c r="H207" s="307" t="s">
        <v>268</v>
      </c>
      <c r="I207" s="330" t="s">
        <v>300</v>
      </c>
      <c r="J207" s="364">
        <v>2</v>
      </c>
      <c r="K207" s="357">
        <v>0</v>
      </c>
      <c r="L207" s="357">
        <v>2</v>
      </c>
      <c r="M207" s="356">
        <v>0</v>
      </c>
      <c r="N207" s="357">
        <v>1522498</v>
      </c>
      <c r="O207" s="356"/>
      <c r="P207" s="356">
        <v>1522498</v>
      </c>
      <c r="Q207" s="357">
        <v>143000</v>
      </c>
      <c r="R207" s="357">
        <v>0</v>
      </c>
      <c r="S207" s="357">
        <v>143000</v>
      </c>
    </row>
    <row r="208" spans="1:19" ht="70.5" customHeight="1" x14ac:dyDescent="0.25">
      <c r="A208" s="305" t="s">
        <v>174</v>
      </c>
      <c r="B208" s="306">
        <v>26537036</v>
      </c>
      <c r="C208" s="303" t="s">
        <v>318</v>
      </c>
      <c r="D208" s="303" t="s">
        <v>1370</v>
      </c>
      <c r="E208" s="306"/>
      <c r="F208" s="306">
        <v>1161877</v>
      </c>
      <c r="G208" s="304" t="s">
        <v>1516</v>
      </c>
      <c r="H208" s="307" t="s">
        <v>331</v>
      </c>
      <c r="I208" s="330" t="s">
        <v>294</v>
      </c>
      <c r="J208" s="364">
        <v>9.6</v>
      </c>
      <c r="K208" s="357">
        <v>0</v>
      </c>
      <c r="L208" s="357">
        <v>9.6</v>
      </c>
      <c r="M208" s="356">
        <v>0</v>
      </c>
      <c r="N208" s="357">
        <v>7784279</v>
      </c>
      <c r="O208" s="356"/>
      <c r="P208" s="356">
        <v>7784279</v>
      </c>
      <c r="Q208" s="357">
        <v>712000</v>
      </c>
      <c r="R208" s="357">
        <v>0</v>
      </c>
      <c r="S208" s="357">
        <v>712000</v>
      </c>
    </row>
    <row r="209" spans="1:19" ht="70.5" customHeight="1" x14ac:dyDescent="0.25">
      <c r="A209" s="305" t="s">
        <v>439</v>
      </c>
      <c r="B209" s="306">
        <v>44990901</v>
      </c>
      <c r="C209" s="303" t="s">
        <v>288</v>
      </c>
      <c r="D209" s="303" t="s">
        <v>1445</v>
      </c>
      <c r="E209" s="306" t="s">
        <v>1118</v>
      </c>
      <c r="F209" s="306">
        <v>4441304</v>
      </c>
      <c r="G209" s="304" t="s">
        <v>1532</v>
      </c>
      <c r="H209" s="307" t="s">
        <v>331</v>
      </c>
      <c r="I209" s="330" t="s">
        <v>294</v>
      </c>
      <c r="J209" s="364">
        <v>0.6</v>
      </c>
      <c r="K209" s="357">
        <v>0</v>
      </c>
      <c r="L209" s="357">
        <v>0.6</v>
      </c>
      <c r="M209" s="356">
        <v>0</v>
      </c>
      <c r="N209" s="357">
        <v>0</v>
      </c>
      <c r="O209" s="356"/>
      <c r="P209" s="356">
        <v>0</v>
      </c>
      <c r="Q209" s="357" t="s">
        <v>814</v>
      </c>
      <c r="R209" s="357">
        <v>0</v>
      </c>
      <c r="S209" s="357">
        <v>0</v>
      </c>
    </row>
    <row r="210" spans="1:19" ht="70.5" customHeight="1" x14ac:dyDescent="0.25">
      <c r="A210" s="305" t="s">
        <v>84</v>
      </c>
      <c r="B210" s="309">
        <v>27016781</v>
      </c>
      <c r="C210" s="303" t="s">
        <v>288</v>
      </c>
      <c r="D210" s="303" t="s">
        <v>1371</v>
      </c>
      <c r="E210" s="309"/>
      <c r="F210" s="306">
        <v>9603734</v>
      </c>
      <c r="G210" s="304" t="s">
        <v>1517</v>
      </c>
      <c r="H210" s="307" t="s">
        <v>289</v>
      </c>
      <c r="I210" s="330" t="s">
        <v>269</v>
      </c>
      <c r="J210" s="364">
        <v>4.0199999999999996</v>
      </c>
      <c r="K210" s="357">
        <v>0</v>
      </c>
      <c r="L210" s="357">
        <v>4.0199999999999996</v>
      </c>
      <c r="M210" s="356">
        <v>0</v>
      </c>
      <c r="N210" s="357">
        <v>3387395</v>
      </c>
      <c r="O210" s="356"/>
      <c r="P210" s="356">
        <v>3387395</v>
      </c>
      <c r="Q210" s="357">
        <v>260000</v>
      </c>
      <c r="R210" s="357">
        <v>0</v>
      </c>
      <c r="S210" s="357">
        <v>260000</v>
      </c>
    </row>
    <row r="211" spans="1:19" ht="70.5" customHeight="1" x14ac:dyDescent="0.25">
      <c r="A211" s="305" t="s">
        <v>105</v>
      </c>
      <c r="B211" s="309">
        <v>27322793</v>
      </c>
      <c r="C211" s="303" t="s">
        <v>318</v>
      </c>
      <c r="D211" s="303" t="s">
        <v>1437</v>
      </c>
      <c r="E211" s="309" t="s">
        <v>1413</v>
      </c>
      <c r="F211" s="306">
        <v>2527518</v>
      </c>
      <c r="G211" s="307" t="s">
        <v>105</v>
      </c>
      <c r="H211" s="307" t="s">
        <v>343</v>
      </c>
      <c r="I211" s="330" t="s">
        <v>300</v>
      </c>
      <c r="J211" s="364">
        <v>0</v>
      </c>
      <c r="K211" s="357">
        <v>12.5</v>
      </c>
      <c r="L211" s="357">
        <v>12.5</v>
      </c>
      <c r="M211" s="356">
        <v>0</v>
      </c>
      <c r="N211" s="357">
        <v>0</v>
      </c>
      <c r="O211" s="356"/>
      <c r="P211" s="356">
        <v>0</v>
      </c>
      <c r="Q211" s="357">
        <v>980000</v>
      </c>
      <c r="R211" s="357">
        <v>0</v>
      </c>
      <c r="S211" s="357">
        <v>980000</v>
      </c>
    </row>
    <row r="212" spans="1:19" ht="70.5" customHeight="1" x14ac:dyDescent="0.25">
      <c r="A212" s="305" t="s">
        <v>441</v>
      </c>
      <c r="B212" s="309">
        <v>25049313</v>
      </c>
      <c r="C212" s="303" t="s">
        <v>302</v>
      </c>
      <c r="D212" s="303" t="s">
        <v>1438</v>
      </c>
      <c r="E212" s="309" t="s">
        <v>1118</v>
      </c>
      <c r="F212" s="306">
        <v>7455227</v>
      </c>
      <c r="G212" s="304" t="s">
        <v>1533</v>
      </c>
      <c r="H212" s="307" t="s">
        <v>343</v>
      </c>
      <c r="I212" s="330" t="s">
        <v>269</v>
      </c>
      <c r="J212" s="364">
        <v>0.5</v>
      </c>
      <c r="K212" s="357">
        <v>0</v>
      </c>
      <c r="L212" s="357">
        <v>0.5</v>
      </c>
      <c r="M212" s="356">
        <v>0</v>
      </c>
      <c r="N212" s="357">
        <v>0</v>
      </c>
      <c r="O212" s="356"/>
      <c r="P212" s="356">
        <v>0</v>
      </c>
      <c r="Q212" s="357">
        <v>46000</v>
      </c>
      <c r="R212" s="357">
        <v>0</v>
      </c>
      <c r="S212" s="357">
        <v>46000</v>
      </c>
    </row>
    <row r="213" spans="1:19" ht="70.5" customHeight="1" x14ac:dyDescent="0.25">
      <c r="A213" s="305" t="s">
        <v>225</v>
      </c>
      <c r="B213" s="309">
        <v>26672472</v>
      </c>
      <c r="C213" s="303" t="s">
        <v>288</v>
      </c>
      <c r="D213" s="303" t="s">
        <v>1372</v>
      </c>
      <c r="E213" s="309" t="s">
        <v>1413</v>
      </c>
      <c r="F213" s="306">
        <v>1895540</v>
      </c>
      <c r="G213" s="304" t="s">
        <v>1260</v>
      </c>
      <c r="H213" s="307" t="s">
        <v>343</v>
      </c>
      <c r="I213" s="330" t="s">
        <v>300</v>
      </c>
      <c r="J213" s="364">
        <v>0</v>
      </c>
      <c r="K213" s="357">
        <v>4</v>
      </c>
      <c r="L213" s="357">
        <v>4</v>
      </c>
      <c r="M213" s="356">
        <v>0</v>
      </c>
      <c r="N213" s="357">
        <v>0</v>
      </c>
      <c r="O213" s="356"/>
      <c r="P213" s="356">
        <v>0</v>
      </c>
      <c r="Q213" s="357">
        <v>365000</v>
      </c>
      <c r="R213" s="357">
        <v>0</v>
      </c>
      <c r="S213" s="357">
        <v>365000</v>
      </c>
    </row>
    <row r="214" spans="1:19" ht="70.5" customHeight="1" x14ac:dyDescent="0.25">
      <c r="A214" s="305" t="s">
        <v>225</v>
      </c>
      <c r="B214" s="306">
        <v>26672472</v>
      </c>
      <c r="C214" s="303" t="s">
        <v>288</v>
      </c>
      <c r="D214" s="303" t="s">
        <v>1372</v>
      </c>
      <c r="E214" s="306"/>
      <c r="F214" s="306">
        <v>3488670</v>
      </c>
      <c r="G214" s="304" t="s">
        <v>1518</v>
      </c>
      <c r="H214" s="307" t="s">
        <v>314</v>
      </c>
      <c r="I214" s="330" t="s">
        <v>300</v>
      </c>
      <c r="J214" s="364">
        <v>2.5</v>
      </c>
      <c r="K214" s="357">
        <v>0</v>
      </c>
      <c r="L214" s="357">
        <v>2.5</v>
      </c>
      <c r="M214" s="356">
        <v>0</v>
      </c>
      <c r="N214" s="357">
        <v>2108907</v>
      </c>
      <c r="O214" s="356"/>
      <c r="P214" s="356">
        <v>2108907</v>
      </c>
      <c r="Q214" s="357">
        <v>228000</v>
      </c>
      <c r="R214" s="357">
        <v>0</v>
      </c>
      <c r="S214" s="357">
        <v>228000</v>
      </c>
    </row>
    <row r="215" spans="1:19" ht="70.5" customHeight="1" x14ac:dyDescent="0.25">
      <c r="A215" s="305" t="s">
        <v>225</v>
      </c>
      <c r="B215" s="306">
        <v>26672472</v>
      </c>
      <c r="C215" s="303" t="s">
        <v>288</v>
      </c>
      <c r="D215" s="303" t="s">
        <v>1372</v>
      </c>
      <c r="E215" s="306"/>
      <c r="F215" s="306">
        <v>8533092</v>
      </c>
      <c r="G215" s="304" t="s">
        <v>1219</v>
      </c>
      <c r="H215" s="307" t="s">
        <v>337</v>
      </c>
      <c r="I215" s="330" t="s">
        <v>278</v>
      </c>
      <c r="J215" s="364">
        <v>5.35</v>
      </c>
      <c r="K215" s="357">
        <v>0</v>
      </c>
      <c r="L215" s="357">
        <v>5.35</v>
      </c>
      <c r="M215" s="356">
        <v>10</v>
      </c>
      <c r="N215" s="357">
        <v>4350704</v>
      </c>
      <c r="O215" s="356"/>
      <c r="P215" s="356">
        <v>4350704</v>
      </c>
      <c r="Q215" s="357">
        <v>346000</v>
      </c>
      <c r="R215" s="357">
        <v>0</v>
      </c>
      <c r="S215" s="357">
        <v>346000</v>
      </c>
    </row>
    <row r="216" spans="1:19" ht="70.5" customHeight="1" x14ac:dyDescent="0.25">
      <c r="A216" s="305" t="s">
        <v>442</v>
      </c>
      <c r="B216" s="306" t="s">
        <v>443</v>
      </c>
      <c r="C216" s="303" t="s">
        <v>318</v>
      </c>
      <c r="D216" s="303" t="s">
        <v>1373</v>
      </c>
      <c r="E216" s="306"/>
      <c r="F216" s="306">
        <v>9072226</v>
      </c>
      <c r="G216" s="304" t="s">
        <v>854</v>
      </c>
      <c r="H216" s="307" t="s">
        <v>308</v>
      </c>
      <c r="I216" s="330" t="s">
        <v>300</v>
      </c>
      <c r="J216" s="364">
        <v>2.2999999999999998</v>
      </c>
      <c r="K216" s="357">
        <v>0</v>
      </c>
      <c r="L216" s="357">
        <v>2.2999999999999998</v>
      </c>
      <c r="M216" s="356">
        <v>0</v>
      </c>
      <c r="N216" s="357">
        <v>1487160</v>
      </c>
      <c r="O216" s="356"/>
      <c r="P216" s="356">
        <v>1487160</v>
      </c>
      <c r="Q216" s="357">
        <v>151000</v>
      </c>
      <c r="R216" s="357">
        <v>0</v>
      </c>
      <c r="S216" s="357">
        <v>151000</v>
      </c>
    </row>
    <row r="217" spans="1:19" ht="70.5" customHeight="1" x14ac:dyDescent="0.25">
      <c r="A217" s="305" t="s">
        <v>445</v>
      </c>
      <c r="B217" s="306" t="s">
        <v>1410</v>
      </c>
      <c r="C217" s="303" t="s">
        <v>302</v>
      </c>
      <c r="D217" s="303" t="s">
        <v>1374</v>
      </c>
      <c r="E217" s="306"/>
      <c r="F217" s="306">
        <v>9964505</v>
      </c>
      <c r="G217" s="304" t="s">
        <v>1519</v>
      </c>
      <c r="H217" s="307" t="s">
        <v>285</v>
      </c>
      <c r="I217" s="330" t="s">
        <v>278</v>
      </c>
      <c r="J217" s="364">
        <v>6.5</v>
      </c>
      <c r="K217" s="357">
        <v>0</v>
      </c>
      <c r="L217" s="357">
        <v>6.5</v>
      </c>
      <c r="M217" s="356">
        <v>20</v>
      </c>
      <c r="N217" s="357">
        <v>5035051</v>
      </c>
      <c r="O217" s="356"/>
      <c r="P217" s="356">
        <v>5035051</v>
      </c>
      <c r="Q217" s="357">
        <v>439000</v>
      </c>
      <c r="R217" s="357">
        <v>0</v>
      </c>
      <c r="S217" s="357">
        <v>439000</v>
      </c>
    </row>
    <row r="218" spans="1:19" ht="70.5" customHeight="1" x14ac:dyDescent="0.25">
      <c r="A218" s="305" t="s">
        <v>445</v>
      </c>
      <c r="B218" s="306" t="s">
        <v>1410</v>
      </c>
      <c r="C218" s="303" t="s">
        <v>302</v>
      </c>
      <c r="D218" s="303" t="s">
        <v>1374</v>
      </c>
      <c r="E218" s="306"/>
      <c r="F218" s="306">
        <v>1760206</v>
      </c>
      <c r="G218" s="304" t="s">
        <v>1519</v>
      </c>
      <c r="H218" s="307" t="s">
        <v>290</v>
      </c>
      <c r="I218" s="330" t="s">
        <v>278</v>
      </c>
      <c r="J218" s="364">
        <v>12.5</v>
      </c>
      <c r="K218" s="357">
        <v>0</v>
      </c>
      <c r="L218" s="357">
        <v>12.5</v>
      </c>
      <c r="M218" s="356">
        <v>40</v>
      </c>
      <c r="N218" s="357">
        <v>12056816</v>
      </c>
      <c r="O218" s="356"/>
      <c r="P218" s="356">
        <v>12056816</v>
      </c>
      <c r="Q218" s="357">
        <v>650000</v>
      </c>
      <c r="R218" s="357">
        <v>0</v>
      </c>
      <c r="S218" s="357">
        <v>650000</v>
      </c>
    </row>
    <row r="219" spans="1:19" ht="70.5" customHeight="1" x14ac:dyDescent="0.25">
      <c r="A219" s="305" t="s">
        <v>446</v>
      </c>
      <c r="B219" s="306">
        <v>27010031</v>
      </c>
      <c r="C219" s="303" t="s">
        <v>288</v>
      </c>
      <c r="D219" s="303" t="s">
        <v>1375</v>
      </c>
      <c r="E219" s="306"/>
      <c r="F219" s="306">
        <v>5792926</v>
      </c>
      <c r="G219" s="304" t="s">
        <v>1520</v>
      </c>
      <c r="H219" s="307" t="s">
        <v>297</v>
      </c>
      <c r="I219" s="330" t="s">
        <v>269</v>
      </c>
      <c r="J219" s="364">
        <v>3.05</v>
      </c>
      <c r="K219" s="357">
        <v>0</v>
      </c>
      <c r="L219" s="357">
        <v>3.05</v>
      </c>
      <c r="M219" s="356">
        <v>0</v>
      </c>
      <c r="N219" s="357">
        <v>1669382</v>
      </c>
      <c r="O219" s="356"/>
      <c r="P219" s="356">
        <v>1669382</v>
      </c>
      <c r="Q219" s="357">
        <v>169000</v>
      </c>
      <c r="R219" s="357">
        <v>0</v>
      </c>
      <c r="S219" s="357">
        <v>169000</v>
      </c>
    </row>
    <row r="220" spans="1:19" ht="70.5" customHeight="1" x14ac:dyDescent="0.25">
      <c r="A220" s="305" t="s">
        <v>447</v>
      </c>
      <c r="B220" s="306">
        <v>26671468</v>
      </c>
      <c r="C220" s="303" t="s">
        <v>288</v>
      </c>
      <c r="D220" s="303" t="s">
        <v>1376</v>
      </c>
      <c r="E220" s="306"/>
      <c r="F220" s="306">
        <v>5091362</v>
      </c>
      <c r="G220" s="304" t="s">
        <v>1231</v>
      </c>
      <c r="H220" s="307" t="s">
        <v>297</v>
      </c>
      <c r="I220" s="330" t="s">
        <v>269</v>
      </c>
      <c r="J220" s="364">
        <v>3.89</v>
      </c>
      <c r="K220" s="357">
        <v>0</v>
      </c>
      <c r="L220" s="357">
        <v>3.89</v>
      </c>
      <c r="M220" s="356">
        <v>0</v>
      </c>
      <c r="N220" s="357">
        <v>1523880</v>
      </c>
      <c r="O220" s="356"/>
      <c r="P220" s="356">
        <v>1523880</v>
      </c>
      <c r="Q220" s="357" t="s">
        <v>814</v>
      </c>
      <c r="R220" s="357">
        <v>0</v>
      </c>
      <c r="S220" s="357">
        <v>0</v>
      </c>
    </row>
    <row r="221" spans="1:19" ht="70.5" customHeight="1" x14ac:dyDescent="0.25">
      <c r="A221" s="305" t="s">
        <v>447</v>
      </c>
      <c r="B221" s="306">
        <v>26671468</v>
      </c>
      <c r="C221" s="303" t="s">
        <v>288</v>
      </c>
      <c r="D221" s="303" t="s">
        <v>1376</v>
      </c>
      <c r="E221" s="306"/>
      <c r="F221" s="306">
        <v>9321887</v>
      </c>
      <c r="G221" s="304" t="s">
        <v>1231</v>
      </c>
      <c r="H221" s="307" t="s">
        <v>283</v>
      </c>
      <c r="I221" s="330" t="s">
        <v>278</v>
      </c>
      <c r="J221" s="364">
        <v>4</v>
      </c>
      <c r="K221" s="357">
        <v>0</v>
      </c>
      <c r="L221" s="357">
        <v>4</v>
      </c>
      <c r="M221" s="356">
        <v>6</v>
      </c>
      <c r="N221" s="357">
        <v>2216600</v>
      </c>
      <c r="O221" s="356"/>
      <c r="P221" s="356">
        <v>2216600</v>
      </c>
      <c r="Q221" s="357" t="s">
        <v>814</v>
      </c>
      <c r="R221" s="357">
        <v>0</v>
      </c>
      <c r="S221" s="357">
        <v>0</v>
      </c>
    </row>
    <row r="222" spans="1:19" ht="70.5" customHeight="1" x14ac:dyDescent="0.25">
      <c r="A222" s="305" t="s">
        <v>448</v>
      </c>
      <c r="B222" s="306" t="s">
        <v>449</v>
      </c>
      <c r="C222" s="303" t="s">
        <v>296</v>
      </c>
      <c r="D222" s="303" t="s">
        <v>1377</v>
      </c>
      <c r="E222" s="306" t="s">
        <v>1101</v>
      </c>
      <c r="F222" s="306">
        <v>3145588</v>
      </c>
      <c r="G222" s="304" t="s">
        <v>1521</v>
      </c>
      <c r="H222" s="307" t="s">
        <v>283</v>
      </c>
      <c r="I222" s="330" t="s">
        <v>278</v>
      </c>
      <c r="J222" s="364">
        <v>2.2999999999999998</v>
      </c>
      <c r="K222" s="357">
        <v>0</v>
      </c>
      <c r="L222" s="357">
        <v>2.2999999999999998</v>
      </c>
      <c r="M222" s="356">
        <v>2</v>
      </c>
      <c r="N222" s="357">
        <v>1008000</v>
      </c>
      <c r="O222" s="356"/>
      <c r="P222" s="356">
        <v>1008000</v>
      </c>
      <c r="Q222" s="357" t="s">
        <v>814</v>
      </c>
      <c r="R222" s="357">
        <v>0</v>
      </c>
      <c r="S222" s="357">
        <v>0</v>
      </c>
    </row>
    <row r="223" spans="1:19" ht="70.5" customHeight="1" x14ac:dyDescent="0.25">
      <c r="A223" s="305" t="s">
        <v>448</v>
      </c>
      <c r="B223" s="306" t="s">
        <v>449</v>
      </c>
      <c r="C223" s="303" t="s">
        <v>296</v>
      </c>
      <c r="D223" s="303" t="s">
        <v>1377</v>
      </c>
      <c r="E223" s="306" t="s">
        <v>1101</v>
      </c>
      <c r="F223" s="306">
        <v>6266118</v>
      </c>
      <c r="G223" s="304" t="s">
        <v>1521</v>
      </c>
      <c r="H223" s="307" t="s">
        <v>289</v>
      </c>
      <c r="I223" s="330" t="s">
        <v>269</v>
      </c>
      <c r="J223" s="364">
        <v>3.31</v>
      </c>
      <c r="K223" s="357">
        <v>0</v>
      </c>
      <c r="L223" s="357">
        <v>3.31</v>
      </c>
      <c r="M223" s="356">
        <v>0</v>
      </c>
      <c r="N223" s="357">
        <v>1935297</v>
      </c>
      <c r="O223" s="356"/>
      <c r="P223" s="356">
        <v>1935297</v>
      </c>
      <c r="Q223" s="357" t="s">
        <v>814</v>
      </c>
      <c r="R223" s="357">
        <v>0</v>
      </c>
      <c r="S223" s="357">
        <v>0</v>
      </c>
    </row>
    <row r="224" spans="1:19" ht="70.5" customHeight="1" x14ac:dyDescent="0.25">
      <c r="A224" s="305" t="s">
        <v>448</v>
      </c>
      <c r="B224" s="306" t="s">
        <v>449</v>
      </c>
      <c r="C224" s="303" t="s">
        <v>296</v>
      </c>
      <c r="D224" s="303" t="s">
        <v>1377</v>
      </c>
      <c r="E224" s="306" t="s">
        <v>1101</v>
      </c>
      <c r="F224" s="306">
        <v>7007714</v>
      </c>
      <c r="G224" s="304" t="s">
        <v>1521</v>
      </c>
      <c r="H224" s="307" t="s">
        <v>334</v>
      </c>
      <c r="I224" s="330" t="s">
        <v>278</v>
      </c>
      <c r="J224" s="364">
        <v>19.39</v>
      </c>
      <c r="K224" s="357">
        <v>0</v>
      </c>
      <c r="L224" s="357">
        <v>19.39</v>
      </c>
      <c r="M224" s="356">
        <v>30</v>
      </c>
      <c r="N224" s="357">
        <v>10503828</v>
      </c>
      <c r="O224" s="356"/>
      <c r="P224" s="356">
        <v>10503828</v>
      </c>
      <c r="Q224" s="357" t="s">
        <v>814</v>
      </c>
      <c r="R224" s="357">
        <v>0</v>
      </c>
      <c r="S224" s="357">
        <v>0</v>
      </c>
    </row>
    <row r="225" spans="1:19" ht="70.5" customHeight="1" x14ac:dyDescent="0.25">
      <c r="A225" s="305" t="s">
        <v>451</v>
      </c>
      <c r="B225" s="309">
        <v>72745339</v>
      </c>
      <c r="C225" s="303" t="s">
        <v>324</v>
      </c>
      <c r="D225" s="303" t="s">
        <v>1378</v>
      </c>
      <c r="E225" s="309"/>
      <c r="F225" s="306">
        <v>8170444</v>
      </c>
      <c r="G225" s="304" t="s">
        <v>1522</v>
      </c>
      <c r="H225" s="307" t="s">
        <v>364</v>
      </c>
      <c r="I225" s="330" t="s">
        <v>278</v>
      </c>
      <c r="J225" s="364">
        <v>5</v>
      </c>
      <c r="K225" s="357">
        <v>0</v>
      </c>
      <c r="L225" s="357">
        <v>5</v>
      </c>
      <c r="M225" s="356">
        <v>25</v>
      </c>
      <c r="N225" s="357">
        <v>1938000</v>
      </c>
      <c r="O225" s="356"/>
      <c r="P225" s="356">
        <v>1938000</v>
      </c>
      <c r="Q225" s="357" t="s">
        <v>814</v>
      </c>
      <c r="R225" s="357">
        <v>0</v>
      </c>
      <c r="S225" s="357">
        <v>0</v>
      </c>
    </row>
    <row r="226" spans="1:19" ht="70.5" customHeight="1" x14ac:dyDescent="0.25">
      <c r="A226" s="305" t="s">
        <v>451</v>
      </c>
      <c r="B226" s="309">
        <v>72745339</v>
      </c>
      <c r="C226" s="303" t="s">
        <v>324</v>
      </c>
      <c r="D226" s="303" t="s">
        <v>1378</v>
      </c>
      <c r="E226" s="309"/>
      <c r="F226" s="306">
        <v>8788790</v>
      </c>
      <c r="G226" s="304" t="s">
        <v>1160</v>
      </c>
      <c r="H226" s="307" t="s">
        <v>285</v>
      </c>
      <c r="I226" s="330" t="s">
        <v>278</v>
      </c>
      <c r="J226" s="364">
        <v>34</v>
      </c>
      <c r="K226" s="357">
        <v>0</v>
      </c>
      <c r="L226" s="357">
        <v>34</v>
      </c>
      <c r="M226" s="356">
        <v>60</v>
      </c>
      <c r="N226" s="357">
        <v>10172937</v>
      </c>
      <c r="O226" s="356"/>
      <c r="P226" s="356">
        <v>10172937</v>
      </c>
      <c r="Q226" s="357" t="s">
        <v>814</v>
      </c>
      <c r="R226" s="357">
        <v>0</v>
      </c>
      <c r="S226" s="357">
        <v>0</v>
      </c>
    </row>
    <row r="227" spans="1:19" ht="70.5" customHeight="1" x14ac:dyDescent="0.25">
      <c r="A227" s="305" t="s">
        <v>451</v>
      </c>
      <c r="B227" s="309">
        <v>72745339</v>
      </c>
      <c r="C227" s="303" t="s">
        <v>324</v>
      </c>
      <c r="D227" s="303" t="s">
        <v>1378</v>
      </c>
      <c r="E227" s="309"/>
      <c r="F227" s="306">
        <v>6732891</v>
      </c>
      <c r="G227" s="304" t="s">
        <v>1204</v>
      </c>
      <c r="H227" s="307" t="s">
        <v>364</v>
      </c>
      <c r="I227" s="330" t="s">
        <v>278</v>
      </c>
      <c r="J227" s="364">
        <v>6.4</v>
      </c>
      <c r="K227" s="357">
        <v>0</v>
      </c>
      <c r="L227" s="357">
        <v>6.4</v>
      </c>
      <c r="M227" s="356">
        <v>28</v>
      </c>
      <c r="N227" s="357">
        <v>2967553</v>
      </c>
      <c r="O227" s="356"/>
      <c r="P227" s="356">
        <v>2967553</v>
      </c>
      <c r="Q227" s="357" t="s">
        <v>814</v>
      </c>
      <c r="R227" s="357">
        <v>0</v>
      </c>
      <c r="S227" s="357">
        <v>0</v>
      </c>
    </row>
    <row r="228" spans="1:19" ht="70.5" customHeight="1" x14ac:dyDescent="0.25">
      <c r="A228" s="305" t="s">
        <v>451</v>
      </c>
      <c r="B228" s="309">
        <v>72745339</v>
      </c>
      <c r="C228" s="303" t="s">
        <v>324</v>
      </c>
      <c r="D228" s="303" t="s">
        <v>1378</v>
      </c>
      <c r="E228" s="309"/>
      <c r="F228" s="306">
        <v>1410170</v>
      </c>
      <c r="G228" s="304" t="s">
        <v>1092</v>
      </c>
      <c r="H228" s="307" t="s">
        <v>325</v>
      </c>
      <c r="I228" s="330" t="s">
        <v>300</v>
      </c>
      <c r="J228" s="364">
        <v>17</v>
      </c>
      <c r="K228" s="357">
        <v>0</v>
      </c>
      <c r="L228" s="357">
        <v>17</v>
      </c>
      <c r="M228" s="356">
        <v>0</v>
      </c>
      <c r="N228" s="357">
        <v>7440000</v>
      </c>
      <c r="O228" s="356"/>
      <c r="P228" s="356">
        <v>7440000</v>
      </c>
      <c r="Q228" s="357" t="s">
        <v>814</v>
      </c>
      <c r="R228" s="357">
        <v>0</v>
      </c>
      <c r="S228" s="357">
        <v>0</v>
      </c>
    </row>
    <row r="229" spans="1:19" ht="70.5" customHeight="1" x14ac:dyDescent="0.25">
      <c r="A229" s="305" t="s">
        <v>452</v>
      </c>
      <c r="B229" s="309">
        <v>48282910</v>
      </c>
      <c r="C229" s="303" t="s">
        <v>324</v>
      </c>
      <c r="D229" s="303" t="s">
        <v>1379</v>
      </c>
      <c r="E229" s="309"/>
      <c r="F229" s="306">
        <v>2854766</v>
      </c>
      <c r="G229" s="304" t="s">
        <v>1120</v>
      </c>
      <c r="H229" s="307" t="s">
        <v>289</v>
      </c>
      <c r="I229" s="330" t="s">
        <v>269</v>
      </c>
      <c r="J229" s="364">
        <v>0.88</v>
      </c>
      <c r="K229" s="357">
        <v>0</v>
      </c>
      <c r="L229" s="357">
        <v>0.88</v>
      </c>
      <c r="M229" s="356">
        <v>0</v>
      </c>
      <c r="N229" s="357">
        <v>457425</v>
      </c>
      <c r="O229" s="356"/>
      <c r="P229" s="356">
        <v>457425</v>
      </c>
      <c r="Q229" s="357" t="s">
        <v>814</v>
      </c>
      <c r="R229" s="357">
        <v>0</v>
      </c>
      <c r="S229" s="357">
        <v>0</v>
      </c>
    </row>
    <row r="230" spans="1:19" ht="70.5" customHeight="1" x14ac:dyDescent="0.25">
      <c r="A230" s="305" t="s">
        <v>452</v>
      </c>
      <c r="B230" s="309">
        <v>48282910</v>
      </c>
      <c r="C230" s="303" t="s">
        <v>324</v>
      </c>
      <c r="D230" s="303" t="s">
        <v>1379</v>
      </c>
      <c r="E230" s="309"/>
      <c r="F230" s="306">
        <v>4493554</v>
      </c>
      <c r="G230" s="304" t="s">
        <v>1195</v>
      </c>
      <c r="H230" s="307" t="s">
        <v>325</v>
      </c>
      <c r="I230" s="330" t="s">
        <v>294</v>
      </c>
      <c r="J230" s="364">
        <v>3.68</v>
      </c>
      <c r="K230" s="357">
        <v>0</v>
      </c>
      <c r="L230" s="357">
        <v>3.68</v>
      </c>
      <c r="M230" s="356">
        <v>0</v>
      </c>
      <c r="N230" s="357">
        <v>1212731</v>
      </c>
      <c r="O230" s="356"/>
      <c r="P230" s="356">
        <v>1212731</v>
      </c>
      <c r="Q230" s="357" t="s">
        <v>814</v>
      </c>
      <c r="R230" s="357">
        <v>0</v>
      </c>
      <c r="S230" s="357">
        <v>0</v>
      </c>
    </row>
    <row r="231" spans="1:19" ht="70.5" customHeight="1" x14ac:dyDescent="0.25">
      <c r="A231" s="305" t="s">
        <v>452</v>
      </c>
      <c r="B231" s="309">
        <v>48282910</v>
      </c>
      <c r="C231" s="303" t="s">
        <v>324</v>
      </c>
      <c r="D231" s="303" t="s">
        <v>1379</v>
      </c>
      <c r="E231" s="309"/>
      <c r="F231" s="306">
        <v>8609487</v>
      </c>
      <c r="G231" s="304" t="s">
        <v>1160</v>
      </c>
      <c r="H231" s="307" t="s">
        <v>285</v>
      </c>
      <c r="I231" s="330" t="s">
        <v>278</v>
      </c>
      <c r="J231" s="364">
        <v>24.64</v>
      </c>
      <c r="K231" s="357">
        <v>0</v>
      </c>
      <c r="L231" s="357">
        <v>24.64</v>
      </c>
      <c r="M231" s="356">
        <v>41</v>
      </c>
      <c r="N231" s="357">
        <v>7578033</v>
      </c>
      <c r="O231" s="356"/>
      <c r="P231" s="356">
        <v>7578033</v>
      </c>
      <c r="Q231" s="357" t="s">
        <v>814</v>
      </c>
      <c r="R231" s="357">
        <v>0</v>
      </c>
      <c r="S231" s="357">
        <v>0</v>
      </c>
    </row>
    <row r="232" spans="1:19" ht="70.5" customHeight="1" x14ac:dyDescent="0.25">
      <c r="A232" s="317" t="s">
        <v>453</v>
      </c>
      <c r="B232" s="318">
        <v>48282901</v>
      </c>
      <c r="C232" s="303" t="s">
        <v>324</v>
      </c>
      <c r="D232" s="303" t="s">
        <v>1380</v>
      </c>
      <c r="E232" s="318"/>
      <c r="F232" s="315">
        <v>6836867</v>
      </c>
      <c r="G232" s="304" t="s">
        <v>847</v>
      </c>
      <c r="H232" s="319" t="s">
        <v>325</v>
      </c>
      <c r="I232" s="332" t="s">
        <v>300</v>
      </c>
      <c r="J232" s="364">
        <v>9</v>
      </c>
      <c r="K232" s="357">
        <v>0</v>
      </c>
      <c r="L232" s="357">
        <v>9</v>
      </c>
      <c r="M232" s="356">
        <v>0</v>
      </c>
      <c r="N232" s="357">
        <v>4150000</v>
      </c>
      <c r="O232" s="356"/>
      <c r="P232" s="356">
        <v>4150000</v>
      </c>
      <c r="Q232" s="357" t="s">
        <v>814</v>
      </c>
      <c r="R232" s="357">
        <v>0</v>
      </c>
      <c r="S232" s="357">
        <v>0</v>
      </c>
    </row>
    <row r="233" spans="1:19" ht="70.5" customHeight="1" x14ac:dyDescent="0.25">
      <c r="A233" s="317" t="s">
        <v>453</v>
      </c>
      <c r="B233" s="315">
        <v>48282901</v>
      </c>
      <c r="C233" s="303" t="s">
        <v>324</v>
      </c>
      <c r="D233" s="303" t="s">
        <v>1380</v>
      </c>
      <c r="E233" s="315"/>
      <c r="F233" s="316">
        <v>3625295</v>
      </c>
      <c r="G233" s="304" t="s">
        <v>1149</v>
      </c>
      <c r="H233" s="315" t="s">
        <v>285</v>
      </c>
      <c r="I233" s="332" t="s">
        <v>278</v>
      </c>
      <c r="J233" s="364">
        <v>27.5</v>
      </c>
      <c r="K233" s="357">
        <v>0</v>
      </c>
      <c r="L233" s="357">
        <v>27.5</v>
      </c>
      <c r="M233" s="356">
        <v>60</v>
      </c>
      <c r="N233" s="357">
        <v>12206040</v>
      </c>
      <c r="O233" s="356"/>
      <c r="P233" s="356">
        <v>12206040</v>
      </c>
      <c r="Q233" s="357" t="s">
        <v>814</v>
      </c>
      <c r="R233" s="357">
        <v>0</v>
      </c>
      <c r="S233" s="357">
        <v>0</v>
      </c>
    </row>
    <row r="234" spans="1:19" ht="70.5" customHeight="1" x14ac:dyDescent="0.25">
      <c r="A234" s="317" t="s">
        <v>454</v>
      </c>
      <c r="B234" s="315">
        <v>75143861</v>
      </c>
      <c r="C234" s="303" t="s">
        <v>324</v>
      </c>
      <c r="D234" s="303" t="s">
        <v>1381</v>
      </c>
      <c r="E234" s="315"/>
      <c r="F234" s="316">
        <v>4290863</v>
      </c>
      <c r="G234" s="304" t="s">
        <v>1523</v>
      </c>
      <c r="H234" s="315" t="s">
        <v>268</v>
      </c>
      <c r="I234" s="332" t="s">
        <v>300</v>
      </c>
      <c r="J234" s="364">
        <v>1</v>
      </c>
      <c r="K234" s="357">
        <v>0</v>
      </c>
      <c r="L234" s="357">
        <v>1</v>
      </c>
      <c r="M234" s="356">
        <v>0</v>
      </c>
      <c r="N234" s="357">
        <v>570000</v>
      </c>
      <c r="O234" s="356"/>
      <c r="P234" s="356">
        <v>570000</v>
      </c>
      <c r="Q234" s="357" t="s">
        <v>814</v>
      </c>
      <c r="R234" s="357">
        <v>0</v>
      </c>
      <c r="S234" s="357">
        <v>0</v>
      </c>
    </row>
    <row r="235" spans="1:19" ht="70.5" customHeight="1" x14ac:dyDescent="0.25">
      <c r="A235" s="317" t="s">
        <v>454</v>
      </c>
      <c r="B235" s="315">
        <v>75143861</v>
      </c>
      <c r="C235" s="303" t="s">
        <v>324</v>
      </c>
      <c r="D235" s="303" t="s">
        <v>1381</v>
      </c>
      <c r="E235" s="315"/>
      <c r="F235" s="316">
        <v>1280179</v>
      </c>
      <c r="G235" s="304" t="s">
        <v>1120</v>
      </c>
      <c r="H235" s="315" t="s">
        <v>289</v>
      </c>
      <c r="I235" s="332" t="s">
        <v>269</v>
      </c>
      <c r="J235" s="364">
        <v>2.2000000000000002</v>
      </c>
      <c r="K235" s="357">
        <v>0</v>
      </c>
      <c r="L235" s="357">
        <v>2.2000000000000002</v>
      </c>
      <c r="M235" s="356">
        <v>0</v>
      </c>
      <c r="N235" s="357">
        <v>300000</v>
      </c>
      <c r="O235" s="356"/>
      <c r="P235" s="356">
        <v>300000</v>
      </c>
      <c r="Q235" s="357" t="s">
        <v>814</v>
      </c>
      <c r="R235" s="357">
        <v>0</v>
      </c>
      <c r="S235" s="357">
        <v>0</v>
      </c>
    </row>
    <row r="236" spans="1:19" ht="70.5" customHeight="1" x14ac:dyDescent="0.25">
      <c r="A236" s="317" t="s">
        <v>454</v>
      </c>
      <c r="B236" s="315">
        <v>75143861</v>
      </c>
      <c r="C236" s="303" t="s">
        <v>324</v>
      </c>
      <c r="D236" s="303" t="s">
        <v>1381</v>
      </c>
      <c r="E236" s="315"/>
      <c r="F236" s="316">
        <v>7901485</v>
      </c>
      <c r="G236" s="304" t="s">
        <v>1092</v>
      </c>
      <c r="H236" s="315" t="s">
        <v>325</v>
      </c>
      <c r="I236" s="332" t="s">
        <v>294</v>
      </c>
      <c r="J236" s="364">
        <v>15.8</v>
      </c>
      <c r="K236" s="357">
        <v>0</v>
      </c>
      <c r="L236" s="357">
        <v>15.8</v>
      </c>
      <c r="M236" s="356">
        <v>0</v>
      </c>
      <c r="N236" s="357">
        <v>4629612</v>
      </c>
      <c r="O236" s="356"/>
      <c r="P236" s="356">
        <v>4629612</v>
      </c>
      <c r="Q236" s="357" t="s">
        <v>814</v>
      </c>
      <c r="R236" s="357">
        <v>0</v>
      </c>
      <c r="S236" s="357">
        <v>0</v>
      </c>
    </row>
    <row r="237" spans="1:19" ht="70.5" customHeight="1" x14ac:dyDescent="0.25">
      <c r="A237" s="317" t="s">
        <v>455</v>
      </c>
      <c r="B237" s="315" t="s">
        <v>456</v>
      </c>
      <c r="C237" s="303" t="s">
        <v>324</v>
      </c>
      <c r="D237" s="303" t="s">
        <v>1382</v>
      </c>
      <c r="E237" s="315"/>
      <c r="F237" s="316">
        <v>3949768</v>
      </c>
      <c r="G237" s="304" t="s">
        <v>1121</v>
      </c>
      <c r="H237" s="315" t="s">
        <v>325</v>
      </c>
      <c r="I237" s="332" t="s">
        <v>300</v>
      </c>
      <c r="J237" s="364">
        <v>6.1</v>
      </c>
      <c r="K237" s="357">
        <v>0</v>
      </c>
      <c r="L237" s="357">
        <v>6.1</v>
      </c>
      <c r="M237" s="356">
        <v>0</v>
      </c>
      <c r="N237" s="357">
        <v>2923104</v>
      </c>
      <c r="O237" s="356"/>
      <c r="P237" s="356">
        <v>2923104</v>
      </c>
      <c r="Q237" s="357" t="s">
        <v>814</v>
      </c>
      <c r="R237" s="357">
        <v>0</v>
      </c>
      <c r="S237" s="357">
        <v>0</v>
      </c>
    </row>
    <row r="238" spans="1:19" ht="70.5" customHeight="1" x14ac:dyDescent="0.25">
      <c r="A238" s="317" t="s">
        <v>455</v>
      </c>
      <c r="B238" s="315" t="s">
        <v>456</v>
      </c>
      <c r="C238" s="303" t="s">
        <v>324</v>
      </c>
      <c r="D238" s="303" t="s">
        <v>1382</v>
      </c>
      <c r="E238" s="315"/>
      <c r="F238" s="316">
        <v>3732526</v>
      </c>
      <c r="G238" s="304" t="s">
        <v>1121</v>
      </c>
      <c r="H238" s="315" t="s">
        <v>285</v>
      </c>
      <c r="I238" s="332" t="s">
        <v>278</v>
      </c>
      <c r="J238" s="364">
        <v>33.1</v>
      </c>
      <c r="K238" s="357">
        <v>0</v>
      </c>
      <c r="L238" s="357">
        <v>33.1</v>
      </c>
      <c r="M238" s="356">
        <v>64</v>
      </c>
      <c r="N238" s="357">
        <v>7125000</v>
      </c>
      <c r="O238" s="356"/>
      <c r="P238" s="356">
        <v>7125000</v>
      </c>
      <c r="Q238" s="357" t="s">
        <v>814</v>
      </c>
      <c r="R238" s="357">
        <v>0</v>
      </c>
      <c r="S238" s="357">
        <v>0</v>
      </c>
    </row>
    <row r="239" spans="1:19" ht="70.5" customHeight="1" x14ac:dyDescent="0.25">
      <c r="A239" s="317" t="s">
        <v>455</v>
      </c>
      <c r="B239" s="315" t="s">
        <v>456</v>
      </c>
      <c r="C239" s="303" t="s">
        <v>324</v>
      </c>
      <c r="D239" s="303" t="s">
        <v>1382</v>
      </c>
      <c r="E239" s="315"/>
      <c r="F239" s="316">
        <v>2308616</v>
      </c>
      <c r="G239" s="304" t="s">
        <v>1121</v>
      </c>
      <c r="H239" s="315" t="s">
        <v>290</v>
      </c>
      <c r="I239" s="332" t="s">
        <v>278</v>
      </c>
      <c r="J239" s="364">
        <v>35.130000000000003</v>
      </c>
      <c r="K239" s="357">
        <v>0</v>
      </c>
      <c r="L239" s="357">
        <v>35.130000000000003</v>
      </c>
      <c r="M239" s="356">
        <v>56</v>
      </c>
      <c r="N239" s="357">
        <v>10231878</v>
      </c>
      <c r="O239" s="356"/>
      <c r="P239" s="356">
        <v>10231878</v>
      </c>
      <c r="Q239" s="357" t="s">
        <v>814</v>
      </c>
      <c r="R239" s="357">
        <v>0</v>
      </c>
      <c r="S239" s="357">
        <v>0</v>
      </c>
    </row>
    <row r="240" spans="1:19" ht="70.5" customHeight="1" x14ac:dyDescent="0.25">
      <c r="A240" s="317" t="s">
        <v>149</v>
      </c>
      <c r="B240" s="315">
        <v>29043913</v>
      </c>
      <c r="C240" s="303" t="s">
        <v>318</v>
      </c>
      <c r="D240" s="303" t="s">
        <v>1383</v>
      </c>
      <c r="E240" s="315"/>
      <c r="F240" s="316">
        <v>7143232</v>
      </c>
      <c r="G240" s="304" t="s">
        <v>1164</v>
      </c>
      <c r="H240" s="315" t="s">
        <v>321</v>
      </c>
      <c r="I240" s="332" t="s">
        <v>294</v>
      </c>
      <c r="J240" s="364">
        <v>12.5</v>
      </c>
      <c r="K240" s="357">
        <v>0</v>
      </c>
      <c r="L240" s="357">
        <v>12.5</v>
      </c>
      <c r="M240" s="356">
        <v>0</v>
      </c>
      <c r="N240" s="357">
        <v>8578495</v>
      </c>
      <c r="O240" s="356"/>
      <c r="P240" s="356">
        <v>8578495</v>
      </c>
      <c r="Q240" s="357" t="s">
        <v>814</v>
      </c>
      <c r="R240" s="357">
        <v>0</v>
      </c>
      <c r="S240" s="357">
        <v>0</v>
      </c>
    </row>
    <row r="241" spans="1:19" ht="70.5" customHeight="1" x14ac:dyDescent="0.25">
      <c r="A241" s="317" t="s">
        <v>149</v>
      </c>
      <c r="B241" s="315">
        <v>29043913</v>
      </c>
      <c r="C241" s="303" t="s">
        <v>318</v>
      </c>
      <c r="D241" s="303" t="s">
        <v>1383</v>
      </c>
      <c r="E241" s="315"/>
      <c r="F241" s="316">
        <v>5968921</v>
      </c>
      <c r="G241" s="304" t="s">
        <v>1109</v>
      </c>
      <c r="H241" s="315" t="s">
        <v>283</v>
      </c>
      <c r="I241" s="332" t="s">
        <v>300</v>
      </c>
      <c r="J241" s="364">
        <v>2</v>
      </c>
      <c r="K241" s="357">
        <v>0</v>
      </c>
      <c r="L241" s="357">
        <v>2</v>
      </c>
      <c r="M241" s="356">
        <v>0</v>
      </c>
      <c r="N241" s="357">
        <v>1546719</v>
      </c>
      <c r="O241" s="356"/>
      <c r="P241" s="356">
        <v>1546719</v>
      </c>
      <c r="Q241" s="357" t="s">
        <v>814</v>
      </c>
      <c r="R241" s="357">
        <v>0</v>
      </c>
      <c r="S241" s="357">
        <v>0</v>
      </c>
    </row>
    <row r="242" spans="1:19" ht="70.5" customHeight="1" x14ac:dyDescent="0.25">
      <c r="A242" s="333" t="s">
        <v>149</v>
      </c>
      <c r="B242" s="322">
        <v>29043913</v>
      </c>
      <c r="C242" s="303" t="s">
        <v>318</v>
      </c>
      <c r="D242" s="303" t="s">
        <v>1383</v>
      </c>
      <c r="E242" s="322"/>
      <c r="F242" s="322">
        <v>7253089</v>
      </c>
      <c r="G242" s="304" t="s">
        <v>1092</v>
      </c>
      <c r="H242" s="315" t="s">
        <v>325</v>
      </c>
      <c r="I242" s="332" t="s">
        <v>300</v>
      </c>
      <c r="J242" s="364">
        <v>5</v>
      </c>
      <c r="K242" s="357">
        <v>0</v>
      </c>
      <c r="L242" s="357">
        <v>5</v>
      </c>
      <c r="M242" s="356">
        <v>0</v>
      </c>
      <c r="N242" s="357">
        <v>4126674</v>
      </c>
      <c r="O242" s="356"/>
      <c r="P242" s="356">
        <v>4126674</v>
      </c>
      <c r="Q242" s="357" t="s">
        <v>814</v>
      </c>
      <c r="R242" s="357">
        <v>0</v>
      </c>
      <c r="S242" s="357">
        <v>0</v>
      </c>
    </row>
    <row r="243" spans="1:19" ht="70.5" customHeight="1" x14ac:dyDescent="0.25">
      <c r="A243" s="334" t="s">
        <v>61</v>
      </c>
      <c r="B243" s="316">
        <v>27291049</v>
      </c>
      <c r="C243" s="303" t="s">
        <v>374</v>
      </c>
      <c r="D243" s="303" t="s">
        <v>1384</v>
      </c>
      <c r="E243" s="320"/>
      <c r="F243" s="316">
        <v>6650186</v>
      </c>
      <c r="G243" s="304" t="s">
        <v>1534</v>
      </c>
      <c r="H243" s="316" t="s">
        <v>338</v>
      </c>
      <c r="I243" s="335" t="s">
        <v>269</v>
      </c>
      <c r="J243" s="364">
        <v>0</v>
      </c>
      <c r="K243" s="357">
        <v>3</v>
      </c>
      <c r="L243" s="357">
        <v>3</v>
      </c>
      <c r="M243" s="356">
        <v>0</v>
      </c>
      <c r="N243" s="357">
        <v>0</v>
      </c>
      <c r="O243" s="356"/>
      <c r="P243" s="356">
        <v>0</v>
      </c>
      <c r="Q243" s="357">
        <v>364000</v>
      </c>
      <c r="R243" s="357">
        <v>0</v>
      </c>
      <c r="S243" s="357">
        <v>364000</v>
      </c>
    </row>
    <row r="244" spans="1:19" ht="70.5" customHeight="1" x14ac:dyDescent="0.25">
      <c r="A244" s="334" t="s">
        <v>61</v>
      </c>
      <c r="B244" s="321">
        <v>27291049</v>
      </c>
      <c r="C244" s="303" t="s">
        <v>374</v>
      </c>
      <c r="D244" s="303" t="s">
        <v>1384</v>
      </c>
      <c r="E244" s="321"/>
      <c r="F244" s="316">
        <v>4353078</v>
      </c>
      <c r="G244" s="304" t="s">
        <v>1534</v>
      </c>
      <c r="H244" s="321" t="s">
        <v>365</v>
      </c>
      <c r="I244" s="336" t="s">
        <v>294</v>
      </c>
      <c r="J244" s="364">
        <v>0</v>
      </c>
      <c r="K244" s="357">
        <v>5.3</v>
      </c>
      <c r="L244" s="357">
        <v>5.3</v>
      </c>
      <c r="M244" s="356">
        <v>0</v>
      </c>
      <c r="N244" s="357">
        <v>0</v>
      </c>
      <c r="O244" s="356"/>
      <c r="P244" s="356">
        <v>0</v>
      </c>
      <c r="Q244" s="357">
        <v>501000</v>
      </c>
      <c r="R244" s="357">
        <v>0</v>
      </c>
      <c r="S244" s="357">
        <v>501000</v>
      </c>
    </row>
    <row r="245" spans="1:19" ht="70.5" customHeight="1" x14ac:dyDescent="0.25">
      <c r="A245" s="334" t="s">
        <v>61</v>
      </c>
      <c r="B245" s="321">
        <v>27291049</v>
      </c>
      <c r="C245" s="303" t="s">
        <v>374</v>
      </c>
      <c r="D245" s="303" t="s">
        <v>1384</v>
      </c>
      <c r="E245" s="321"/>
      <c r="F245" s="316">
        <v>5227172</v>
      </c>
      <c r="G245" s="304" t="s">
        <v>61</v>
      </c>
      <c r="H245" s="321" t="s">
        <v>337</v>
      </c>
      <c r="I245" s="336" t="s">
        <v>278</v>
      </c>
      <c r="J245" s="364">
        <v>17.7</v>
      </c>
      <c r="K245" s="357">
        <v>0</v>
      </c>
      <c r="L245" s="357">
        <v>17.7</v>
      </c>
      <c r="M245" s="356">
        <v>29</v>
      </c>
      <c r="N245" s="357">
        <v>12026537</v>
      </c>
      <c r="O245" s="356"/>
      <c r="P245" s="356">
        <v>12026537</v>
      </c>
      <c r="Q245" s="357">
        <v>1400000</v>
      </c>
      <c r="R245" s="357">
        <v>0</v>
      </c>
      <c r="S245" s="357">
        <v>1400000</v>
      </c>
    </row>
    <row r="246" spans="1:19" ht="70.5" customHeight="1" x14ac:dyDescent="0.25">
      <c r="A246" s="334" t="s">
        <v>457</v>
      </c>
      <c r="B246" s="321">
        <v>26611716</v>
      </c>
      <c r="C246" s="303" t="s">
        <v>318</v>
      </c>
      <c r="D246" s="303" t="s">
        <v>1439</v>
      </c>
      <c r="E246" s="321" t="s">
        <v>1118</v>
      </c>
      <c r="F246" s="316">
        <v>4385424</v>
      </c>
      <c r="G246" s="304" t="s">
        <v>1546</v>
      </c>
      <c r="H246" s="321" t="s">
        <v>343</v>
      </c>
      <c r="I246" s="336" t="s">
        <v>269</v>
      </c>
      <c r="J246" s="364">
        <v>3.1</v>
      </c>
      <c r="K246" s="357">
        <v>0</v>
      </c>
      <c r="L246" s="357">
        <v>3.1</v>
      </c>
      <c r="M246" s="356">
        <v>0</v>
      </c>
      <c r="N246" s="357">
        <v>0</v>
      </c>
      <c r="O246" s="356"/>
      <c r="P246" s="356">
        <v>0</v>
      </c>
      <c r="Q246" s="357">
        <v>125000</v>
      </c>
      <c r="R246" s="357">
        <v>0</v>
      </c>
      <c r="S246" s="357">
        <v>125000</v>
      </c>
    </row>
    <row r="247" spans="1:19" ht="70.5" customHeight="1" x14ac:dyDescent="0.25">
      <c r="A247" s="334" t="s">
        <v>458</v>
      </c>
      <c r="B247" s="321">
        <v>25475894</v>
      </c>
      <c r="C247" s="303" t="s">
        <v>318</v>
      </c>
      <c r="D247" s="303" t="s">
        <v>1385</v>
      </c>
      <c r="E247" s="321"/>
      <c r="F247" s="316">
        <v>5293407</v>
      </c>
      <c r="G247" s="304" t="s">
        <v>1525</v>
      </c>
      <c r="H247" s="321" t="s">
        <v>496</v>
      </c>
      <c r="I247" s="336" t="s">
        <v>300</v>
      </c>
      <c r="J247" s="364">
        <v>0.75</v>
      </c>
      <c r="K247" s="357">
        <v>0</v>
      </c>
      <c r="L247" s="357">
        <v>0.75</v>
      </c>
      <c r="M247" s="356">
        <v>0</v>
      </c>
      <c r="N247" s="357">
        <v>401361</v>
      </c>
      <c r="O247" s="356"/>
      <c r="P247" s="356">
        <v>401361</v>
      </c>
      <c r="Q247" s="357">
        <v>49000</v>
      </c>
      <c r="R247" s="357">
        <v>0</v>
      </c>
      <c r="S247" s="357">
        <v>49000</v>
      </c>
    </row>
    <row r="248" spans="1:19" ht="70.5" customHeight="1" x14ac:dyDescent="0.25">
      <c r="A248" s="334" t="s">
        <v>458</v>
      </c>
      <c r="B248" s="321">
        <v>25475894</v>
      </c>
      <c r="C248" s="303" t="s">
        <v>318</v>
      </c>
      <c r="D248" s="303" t="s">
        <v>1385</v>
      </c>
      <c r="E248" s="321"/>
      <c r="F248" s="316">
        <v>8340162</v>
      </c>
      <c r="G248" s="304" t="s">
        <v>1526</v>
      </c>
      <c r="H248" s="321" t="s">
        <v>343</v>
      </c>
      <c r="I248" s="336" t="s">
        <v>300</v>
      </c>
      <c r="J248" s="364">
        <v>2</v>
      </c>
      <c r="K248" s="357">
        <v>0</v>
      </c>
      <c r="L248" s="357">
        <v>2</v>
      </c>
      <c r="M248" s="356">
        <v>0</v>
      </c>
      <c r="N248" s="357">
        <v>1400833</v>
      </c>
      <c r="O248" s="356"/>
      <c r="P248" s="356">
        <v>1400833</v>
      </c>
      <c r="Q248" s="357">
        <v>170000</v>
      </c>
      <c r="R248" s="357">
        <v>0</v>
      </c>
      <c r="S248" s="357">
        <v>170000</v>
      </c>
    </row>
    <row r="249" spans="1:19" ht="70.5" customHeight="1" x14ac:dyDescent="0.25">
      <c r="A249" s="334" t="s">
        <v>458</v>
      </c>
      <c r="B249" s="321">
        <v>25475894</v>
      </c>
      <c r="C249" s="303" t="s">
        <v>318</v>
      </c>
      <c r="D249" s="303" t="s">
        <v>1385</v>
      </c>
      <c r="E249" s="321"/>
      <c r="F249" s="316">
        <v>2954592</v>
      </c>
      <c r="G249" s="304" t="s">
        <v>1524</v>
      </c>
      <c r="H249" s="321" t="s">
        <v>308</v>
      </c>
      <c r="I249" s="336" t="s">
        <v>300</v>
      </c>
      <c r="J249" s="364">
        <v>2.67</v>
      </c>
      <c r="K249" s="357">
        <v>0</v>
      </c>
      <c r="L249" s="357">
        <v>2.67</v>
      </c>
      <c r="M249" s="356">
        <v>0</v>
      </c>
      <c r="N249" s="357">
        <v>1630779</v>
      </c>
      <c r="O249" s="356"/>
      <c r="P249" s="356">
        <v>1630779</v>
      </c>
      <c r="Q249" s="357">
        <v>236000</v>
      </c>
      <c r="R249" s="357">
        <v>0</v>
      </c>
      <c r="S249" s="357">
        <v>236000</v>
      </c>
    </row>
    <row r="250" spans="1:19" ht="70.5" customHeight="1" x14ac:dyDescent="0.25">
      <c r="A250" s="334" t="s">
        <v>143</v>
      </c>
      <c r="B250" s="321">
        <v>26200481</v>
      </c>
      <c r="C250" s="303" t="s">
        <v>318</v>
      </c>
      <c r="D250" s="303" t="s">
        <v>1440</v>
      </c>
      <c r="E250" s="321" t="s">
        <v>1118</v>
      </c>
      <c r="F250" s="316">
        <v>3843439</v>
      </c>
      <c r="G250" s="304" t="s">
        <v>1535</v>
      </c>
      <c r="H250" s="321" t="s">
        <v>343</v>
      </c>
      <c r="I250" s="336" t="s">
        <v>300</v>
      </c>
      <c r="J250" s="364">
        <v>1.7</v>
      </c>
      <c r="K250" s="357">
        <v>0</v>
      </c>
      <c r="L250" s="357">
        <v>1.7</v>
      </c>
      <c r="M250" s="356">
        <v>0</v>
      </c>
      <c r="N250" s="357">
        <v>0</v>
      </c>
      <c r="O250" s="356"/>
      <c r="P250" s="356">
        <v>0</v>
      </c>
      <c r="Q250" s="357">
        <v>155000</v>
      </c>
      <c r="R250" s="357">
        <v>0</v>
      </c>
      <c r="S250" s="357">
        <v>155000</v>
      </c>
    </row>
    <row r="251" spans="1:19" ht="70.5" customHeight="1" x14ac:dyDescent="0.25">
      <c r="A251" s="334" t="s">
        <v>1446</v>
      </c>
      <c r="B251" s="321">
        <v>17639786</v>
      </c>
      <c r="C251" s="303" t="s">
        <v>302</v>
      </c>
      <c r="D251" s="303" t="s">
        <v>1441</v>
      </c>
      <c r="E251" s="321" t="s">
        <v>1118</v>
      </c>
      <c r="F251" s="316">
        <v>4310589</v>
      </c>
      <c r="G251" s="304" t="s">
        <v>1547</v>
      </c>
      <c r="H251" s="321" t="s">
        <v>325</v>
      </c>
      <c r="I251" s="336" t="s">
        <v>294</v>
      </c>
      <c r="J251" s="364">
        <v>2</v>
      </c>
      <c r="K251" s="357">
        <v>0</v>
      </c>
      <c r="L251" s="357">
        <v>2</v>
      </c>
      <c r="M251" s="356">
        <v>0</v>
      </c>
      <c r="N251" s="357">
        <v>0</v>
      </c>
      <c r="O251" s="356"/>
      <c r="P251" s="356">
        <v>0</v>
      </c>
      <c r="Q251" s="357">
        <v>189000</v>
      </c>
      <c r="R251" s="357">
        <v>0</v>
      </c>
      <c r="S251" s="357">
        <v>189000</v>
      </c>
    </row>
    <row r="252" spans="1:19" ht="70.5" customHeight="1" x14ac:dyDescent="0.25">
      <c r="A252" s="334" t="s">
        <v>1411</v>
      </c>
      <c r="B252" s="321">
        <v>27284506</v>
      </c>
      <c r="C252" s="303" t="s">
        <v>318</v>
      </c>
      <c r="D252" s="303" t="s">
        <v>1432</v>
      </c>
      <c r="E252" s="321"/>
      <c r="F252" s="316">
        <v>6967411</v>
      </c>
      <c r="G252" s="304" t="s">
        <v>1528</v>
      </c>
      <c r="H252" s="321" t="s">
        <v>285</v>
      </c>
      <c r="I252" s="336" t="s">
        <v>278</v>
      </c>
      <c r="J252" s="364">
        <v>22.95</v>
      </c>
      <c r="K252" s="357">
        <v>0</v>
      </c>
      <c r="L252" s="357">
        <v>22.95</v>
      </c>
      <c r="M252" s="356">
        <v>32</v>
      </c>
      <c r="N252" s="357">
        <v>6364800</v>
      </c>
      <c r="O252" s="356"/>
      <c r="P252" s="356">
        <v>6364800</v>
      </c>
      <c r="Q252" s="357">
        <v>1482000</v>
      </c>
      <c r="R252" s="357">
        <v>0</v>
      </c>
      <c r="S252" s="357">
        <v>1482000</v>
      </c>
    </row>
    <row r="253" spans="1:19" ht="70.5" customHeight="1" x14ac:dyDescent="0.25">
      <c r="A253" s="334" t="s">
        <v>1411</v>
      </c>
      <c r="B253" s="321">
        <v>27284506</v>
      </c>
      <c r="C253" s="303" t="s">
        <v>318</v>
      </c>
      <c r="D253" s="303" t="s">
        <v>1432</v>
      </c>
      <c r="E253" s="321"/>
      <c r="F253" s="316">
        <v>2572767</v>
      </c>
      <c r="G253" s="304" t="s">
        <v>1527</v>
      </c>
      <c r="H253" s="321" t="s">
        <v>290</v>
      </c>
      <c r="I253" s="336" t="s">
        <v>278</v>
      </c>
      <c r="J253" s="364">
        <v>25.85</v>
      </c>
      <c r="K253" s="357">
        <v>0</v>
      </c>
      <c r="L253" s="357">
        <v>25.85</v>
      </c>
      <c r="M253" s="356">
        <v>66</v>
      </c>
      <c r="N253" s="357">
        <v>20860675</v>
      </c>
      <c r="O253" s="356"/>
      <c r="P253" s="356">
        <v>20860675</v>
      </c>
      <c r="Q253" s="357">
        <v>1669000</v>
      </c>
      <c r="R253" s="357">
        <v>0</v>
      </c>
      <c r="S253" s="357">
        <v>1669000</v>
      </c>
    </row>
    <row r="254" spans="1:19" ht="70.5" customHeight="1" x14ac:dyDescent="0.25">
      <c r="A254" s="334" t="s">
        <v>1088</v>
      </c>
      <c r="B254" s="321" t="s">
        <v>463</v>
      </c>
      <c r="C254" s="303" t="s">
        <v>324</v>
      </c>
      <c r="D254" s="303" t="s">
        <v>1386</v>
      </c>
      <c r="E254" s="321"/>
      <c r="F254" s="316">
        <v>9274680</v>
      </c>
      <c r="G254" s="304" t="s">
        <v>1144</v>
      </c>
      <c r="H254" s="321" t="s">
        <v>290</v>
      </c>
      <c r="I254" s="336" t="s">
        <v>278</v>
      </c>
      <c r="J254" s="364">
        <v>20.53</v>
      </c>
      <c r="K254" s="357">
        <v>0</v>
      </c>
      <c r="L254" s="357">
        <v>20.53</v>
      </c>
      <c r="M254" s="356">
        <v>24</v>
      </c>
      <c r="N254" s="357">
        <v>6131108</v>
      </c>
      <c r="O254" s="356"/>
      <c r="P254" s="356">
        <v>6131108</v>
      </c>
      <c r="Q254" s="357" t="s">
        <v>814</v>
      </c>
      <c r="R254" s="357">
        <v>0</v>
      </c>
      <c r="S254" s="357">
        <v>0</v>
      </c>
    </row>
    <row r="255" spans="1:19" ht="70.5" customHeight="1" x14ac:dyDescent="0.25">
      <c r="A255" s="334" t="s">
        <v>1088</v>
      </c>
      <c r="B255" s="321" t="s">
        <v>463</v>
      </c>
      <c r="C255" s="303" t="s">
        <v>324</v>
      </c>
      <c r="D255" s="303" t="s">
        <v>1386</v>
      </c>
      <c r="E255" s="321"/>
      <c r="F255" s="316">
        <v>4234054</v>
      </c>
      <c r="G255" s="304" t="s">
        <v>1144</v>
      </c>
      <c r="H255" s="321" t="s">
        <v>285</v>
      </c>
      <c r="I255" s="336" t="s">
        <v>278</v>
      </c>
      <c r="J255" s="364">
        <v>43.05</v>
      </c>
      <c r="K255" s="357">
        <v>0</v>
      </c>
      <c r="L255" s="357">
        <v>43.05</v>
      </c>
      <c r="M255" s="356">
        <v>71</v>
      </c>
      <c r="N255" s="357">
        <v>12116434</v>
      </c>
      <c r="O255" s="356"/>
      <c r="P255" s="356">
        <v>12116434</v>
      </c>
      <c r="Q255" s="357" t="s">
        <v>814</v>
      </c>
      <c r="R255" s="357">
        <v>0</v>
      </c>
      <c r="S255" s="357">
        <v>0</v>
      </c>
    </row>
    <row r="256" spans="1:19" ht="70.5" customHeight="1" x14ac:dyDescent="0.25">
      <c r="A256" s="334" t="s">
        <v>1088</v>
      </c>
      <c r="B256" s="321" t="s">
        <v>463</v>
      </c>
      <c r="C256" s="303" t="s">
        <v>324</v>
      </c>
      <c r="D256" s="303" t="s">
        <v>1386</v>
      </c>
      <c r="E256" s="321"/>
      <c r="F256" s="316">
        <v>9313088</v>
      </c>
      <c r="G256" s="304" t="s">
        <v>1529</v>
      </c>
      <c r="H256" s="321" t="s">
        <v>297</v>
      </c>
      <c r="I256" s="336" t="s">
        <v>269</v>
      </c>
      <c r="J256" s="364">
        <v>2.2000000000000002</v>
      </c>
      <c r="K256" s="357">
        <v>0</v>
      </c>
      <c r="L256" s="357">
        <v>2.2000000000000002</v>
      </c>
      <c r="M256" s="356">
        <v>0</v>
      </c>
      <c r="N256" s="357">
        <v>767040</v>
      </c>
      <c r="O256" s="356"/>
      <c r="P256" s="356">
        <v>767040</v>
      </c>
      <c r="Q256" s="357" t="s">
        <v>814</v>
      </c>
      <c r="R256" s="357">
        <v>0</v>
      </c>
      <c r="S256" s="357">
        <v>0</v>
      </c>
    </row>
    <row r="257" spans="1:19" ht="70.5" customHeight="1" x14ac:dyDescent="0.25">
      <c r="A257" s="334" t="s">
        <v>1088</v>
      </c>
      <c r="B257" s="321" t="s">
        <v>463</v>
      </c>
      <c r="C257" s="303" t="s">
        <v>324</v>
      </c>
      <c r="D257" s="303" t="s">
        <v>1386</v>
      </c>
      <c r="E257" s="321"/>
      <c r="F257" s="316">
        <v>3368051</v>
      </c>
      <c r="G257" s="304" t="s">
        <v>1144</v>
      </c>
      <c r="H257" s="321" t="s">
        <v>283</v>
      </c>
      <c r="I257" s="336" t="s">
        <v>278</v>
      </c>
      <c r="J257" s="364">
        <v>3.4</v>
      </c>
      <c r="K257" s="357">
        <v>0</v>
      </c>
      <c r="L257" s="357">
        <v>3.4</v>
      </c>
      <c r="M257" s="356">
        <v>5</v>
      </c>
      <c r="N257" s="357">
        <v>1305616</v>
      </c>
      <c r="O257" s="356"/>
      <c r="P257" s="356">
        <v>1305616</v>
      </c>
      <c r="Q257" s="357" t="s">
        <v>814</v>
      </c>
      <c r="R257" s="357">
        <v>0</v>
      </c>
      <c r="S257" s="357">
        <v>0</v>
      </c>
    </row>
    <row r="258" spans="1:19" ht="70.5" customHeight="1" x14ac:dyDescent="0.25">
      <c r="A258" s="334" t="s">
        <v>1088</v>
      </c>
      <c r="B258" s="321" t="s">
        <v>463</v>
      </c>
      <c r="C258" s="303" t="s">
        <v>324</v>
      </c>
      <c r="D258" s="303" t="s">
        <v>1386</v>
      </c>
      <c r="E258" s="321"/>
      <c r="F258" s="316">
        <v>8719331</v>
      </c>
      <c r="G258" s="304" t="s">
        <v>1195</v>
      </c>
      <c r="H258" s="321" t="s">
        <v>325</v>
      </c>
      <c r="I258" s="336" t="s">
        <v>300</v>
      </c>
      <c r="J258" s="364">
        <v>26</v>
      </c>
      <c r="K258" s="357">
        <v>0</v>
      </c>
      <c r="L258" s="357">
        <v>26</v>
      </c>
      <c r="M258" s="356">
        <v>0</v>
      </c>
      <c r="N258" s="357">
        <v>9414990</v>
      </c>
      <c r="O258" s="356"/>
      <c r="P258" s="356">
        <v>9414990</v>
      </c>
      <c r="Q258" s="357" t="s">
        <v>814</v>
      </c>
      <c r="R258" s="357">
        <v>0</v>
      </c>
      <c r="S258" s="357">
        <v>0</v>
      </c>
    </row>
    <row r="259" spans="1:19" ht="70.5" customHeight="1" x14ac:dyDescent="0.25">
      <c r="A259" s="334" t="s">
        <v>464</v>
      </c>
      <c r="B259" s="321" t="s">
        <v>465</v>
      </c>
      <c r="C259" s="303" t="s">
        <v>374</v>
      </c>
      <c r="D259" s="303" t="s">
        <v>1447</v>
      </c>
      <c r="E259" s="321" t="s">
        <v>1118</v>
      </c>
      <c r="F259" s="316">
        <v>4892203</v>
      </c>
      <c r="G259" s="304" t="s">
        <v>1548</v>
      </c>
      <c r="H259" s="321" t="s">
        <v>304</v>
      </c>
      <c r="I259" s="336" t="s">
        <v>294</v>
      </c>
      <c r="J259" s="364">
        <v>1</v>
      </c>
      <c r="K259" s="357">
        <v>0</v>
      </c>
      <c r="L259" s="357">
        <v>1</v>
      </c>
      <c r="M259" s="356">
        <v>0</v>
      </c>
      <c r="N259" s="357">
        <v>0</v>
      </c>
      <c r="O259" s="356"/>
      <c r="P259" s="356">
        <v>0</v>
      </c>
      <c r="Q259" s="357" t="s">
        <v>814</v>
      </c>
      <c r="R259" s="357">
        <v>0</v>
      </c>
      <c r="S259" s="357">
        <v>0</v>
      </c>
    </row>
    <row r="260" spans="1:19" ht="70.5" customHeight="1" x14ac:dyDescent="0.25">
      <c r="A260" s="334" t="s">
        <v>464</v>
      </c>
      <c r="B260" s="321" t="s">
        <v>465</v>
      </c>
      <c r="C260" s="303" t="s">
        <v>374</v>
      </c>
      <c r="D260" s="303" t="s">
        <v>1447</v>
      </c>
      <c r="E260" s="321" t="s">
        <v>1118</v>
      </c>
      <c r="F260" s="316">
        <v>2684509</v>
      </c>
      <c r="G260" s="304" t="s">
        <v>1549</v>
      </c>
      <c r="H260" s="321" t="s">
        <v>293</v>
      </c>
      <c r="I260" s="336" t="s">
        <v>294</v>
      </c>
      <c r="J260" s="364">
        <v>1.6</v>
      </c>
      <c r="K260" s="357">
        <v>0</v>
      </c>
      <c r="L260" s="357">
        <v>1.6</v>
      </c>
      <c r="M260" s="356">
        <v>0</v>
      </c>
      <c r="N260" s="357">
        <v>0</v>
      </c>
      <c r="O260" s="356"/>
      <c r="P260" s="356">
        <v>0</v>
      </c>
      <c r="Q260" s="357" t="s">
        <v>814</v>
      </c>
      <c r="R260" s="357">
        <v>0</v>
      </c>
      <c r="S260" s="357">
        <v>0</v>
      </c>
    </row>
    <row r="261" spans="1:19" ht="70.5" customHeight="1" x14ac:dyDescent="0.25">
      <c r="A261" s="334" t="s">
        <v>1419</v>
      </c>
      <c r="B261" s="321" t="s">
        <v>1420</v>
      </c>
      <c r="C261" s="303" t="s">
        <v>374</v>
      </c>
      <c r="D261" s="303" t="s">
        <v>1448</v>
      </c>
      <c r="E261" s="321"/>
      <c r="F261" s="316">
        <v>3708970</v>
      </c>
      <c r="G261" s="304" t="s">
        <v>1550</v>
      </c>
      <c r="H261" s="321" t="s">
        <v>268</v>
      </c>
      <c r="I261" s="336" t="s">
        <v>300</v>
      </c>
      <c r="J261" s="364">
        <v>0</v>
      </c>
      <c r="K261" s="357">
        <v>3</v>
      </c>
      <c r="L261" s="357">
        <v>3</v>
      </c>
      <c r="M261" s="356">
        <v>0</v>
      </c>
      <c r="N261" s="357">
        <v>0</v>
      </c>
      <c r="O261" s="356"/>
      <c r="P261" s="356">
        <v>0</v>
      </c>
      <c r="Q261" s="357" t="s">
        <v>814</v>
      </c>
      <c r="R261" s="357">
        <v>0</v>
      </c>
      <c r="S261" s="357">
        <v>0</v>
      </c>
    </row>
  </sheetData>
  <autoFilter ref="A3:S261" xr:uid="{FC95E8CD-DF06-47DF-A7FD-4F2BEEE72E83}"/>
  <mergeCells count="1">
    <mergeCell ref="J2:S2"/>
  </mergeCells>
  <conditionalFormatting sqref="F2:F1048576">
    <cfRule type="duplicateValues" dxfId="1" priority="4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1F7F2-EE90-4CF2-9CDB-C4A655AD9716}">
  <dimension ref="A1:AF244"/>
  <sheetViews>
    <sheetView topLeftCell="N212" workbookViewId="0">
      <selection activeCell="AF5" sqref="AF5:AF231"/>
    </sheetView>
  </sheetViews>
  <sheetFormatPr defaultRowHeight="15" x14ac:dyDescent="0.25"/>
  <cols>
    <col min="1" max="1" width="9" bestFit="1" customWidth="1"/>
    <col min="11" max="13" width="10.7109375" customWidth="1"/>
    <col min="17" max="17" width="11.140625" customWidth="1"/>
  </cols>
  <sheetData>
    <row r="1" spans="1:32" ht="7.5" customHeight="1" x14ac:dyDescent="0.25">
      <c r="A1" s="386" t="s">
        <v>473</v>
      </c>
      <c r="B1" s="388" t="s">
        <v>474</v>
      </c>
      <c r="C1" s="38"/>
      <c r="D1" s="386" t="s">
        <v>473</v>
      </c>
      <c r="E1" s="388" t="s">
        <v>475</v>
      </c>
      <c r="F1" s="38"/>
      <c r="G1" s="390" t="s">
        <v>473</v>
      </c>
      <c r="H1" s="388" t="s">
        <v>476</v>
      </c>
      <c r="I1" s="38"/>
      <c r="J1" s="390" t="s">
        <v>473</v>
      </c>
      <c r="K1" s="388" t="s">
        <v>247</v>
      </c>
      <c r="L1" s="38"/>
      <c r="M1" s="390" t="s">
        <v>473</v>
      </c>
      <c r="N1" s="388" t="s">
        <v>477</v>
      </c>
      <c r="O1" s="38"/>
      <c r="P1" s="390" t="s">
        <v>473</v>
      </c>
      <c r="Q1" s="389" t="s">
        <v>257</v>
      </c>
      <c r="S1" s="386" t="s">
        <v>473</v>
      </c>
      <c r="T1" s="388" t="s">
        <v>253</v>
      </c>
      <c r="V1" s="386" t="s">
        <v>473</v>
      </c>
      <c r="W1" s="388" t="s">
        <v>254</v>
      </c>
      <c r="Y1" s="386" t="s">
        <v>473</v>
      </c>
      <c r="Z1" s="388" t="s">
        <v>478</v>
      </c>
      <c r="AB1" s="386" t="s">
        <v>473</v>
      </c>
      <c r="AC1" s="388" t="s">
        <v>478</v>
      </c>
      <c r="AE1" s="386" t="s">
        <v>473</v>
      </c>
      <c r="AF1" s="388" t="s">
        <v>479</v>
      </c>
    </row>
    <row r="2" spans="1:32" ht="7.5" customHeight="1" x14ac:dyDescent="0.25">
      <c r="A2" s="387"/>
      <c r="B2" s="388"/>
      <c r="C2" s="38"/>
      <c r="D2" s="387"/>
      <c r="E2" s="388"/>
      <c r="F2" s="38"/>
      <c r="G2" s="391"/>
      <c r="H2" s="388"/>
      <c r="I2" s="38"/>
      <c r="J2" s="391"/>
      <c r="K2" s="388"/>
      <c r="L2" s="38"/>
      <c r="M2" s="391"/>
      <c r="N2" s="388"/>
      <c r="O2" s="38"/>
      <c r="P2" s="391"/>
      <c r="Q2" s="389"/>
      <c r="S2" s="387"/>
      <c r="T2" s="388"/>
      <c r="V2" s="387"/>
      <c r="W2" s="388"/>
      <c r="Y2" s="387"/>
      <c r="Z2" s="388"/>
      <c r="AB2" s="387"/>
      <c r="AC2" s="388"/>
      <c r="AE2" s="387"/>
      <c r="AF2" s="388"/>
    </row>
    <row r="3" spans="1:32" ht="7.5" customHeight="1" x14ac:dyDescent="0.25">
      <c r="A3" s="387"/>
      <c r="B3" s="388"/>
      <c r="C3" s="38"/>
      <c r="D3" s="387"/>
      <c r="E3" s="388"/>
      <c r="F3" s="38"/>
      <c r="G3" s="391"/>
      <c r="H3" s="388"/>
      <c r="I3" s="38"/>
      <c r="J3" s="391"/>
      <c r="K3" s="388"/>
      <c r="L3" s="38"/>
      <c r="M3" s="391"/>
      <c r="N3" s="388"/>
      <c r="O3" s="38"/>
      <c r="P3" s="391"/>
      <c r="Q3" s="389"/>
      <c r="S3" s="387"/>
      <c r="T3" s="388"/>
      <c r="V3" s="387"/>
      <c r="W3" s="388"/>
      <c r="Y3" s="387"/>
      <c r="Z3" s="388"/>
      <c r="AB3" s="387"/>
      <c r="AC3" s="388"/>
      <c r="AE3" s="387"/>
      <c r="AF3" s="388"/>
    </row>
    <row r="4" spans="1:32" ht="7.5" customHeight="1" x14ac:dyDescent="0.25">
      <c r="A4" s="387"/>
      <c r="B4" s="388"/>
      <c r="C4" s="38"/>
      <c r="D4" s="387"/>
      <c r="E4" s="388"/>
      <c r="F4" s="38"/>
      <c r="G4" s="391"/>
      <c r="H4" s="388"/>
      <c r="I4" s="38"/>
      <c r="J4" s="391"/>
      <c r="K4" s="388"/>
      <c r="L4" s="38"/>
      <c r="M4" s="391"/>
      <c r="N4" s="388"/>
      <c r="O4" s="38"/>
      <c r="P4" s="391"/>
      <c r="Q4" s="389"/>
      <c r="S4" s="387"/>
      <c r="T4" s="388"/>
      <c r="V4" s="387"/>
      <c r="W4" s="388"/>
      <c r="Y4" s="387"/>
      <c r="Z4" s="388"/>
      <c r="AB4" s="387"/>
      <c r="AC4" s="388"/>
      <c r="AE4" s="387"/>
      <c r="AF4" s="388"/>
    </row>
    <row r="5" spans="1:32" s="2" customFormat="1" ht="30" customHeight="1" x14ac:dyDescent="0.25">
      <c r="A5" s="1">
        <v>1020591</v>
      </c>
      <c r="B5" s="2">
        <v>1492000</v>
      </c>
      <c r="D5" s="2">
        <v>1226991</v>
      </c>
      <c r="E5" s="2">
        <v>1062231</v>
      </c>
      <c r="G5" s="2">
        <v>1020591</v>
      </c>
      <c r="H5" s="2">
        <v>79500</v>
      </c>
      <c r="J5" s="2">
        <v>1020591</v>
      </c>
      <c r="K5" s="2">
        <v>57000</v>
      </c>
      <c r="M5" s="2">
        <v>1020591</v>
      </c>
      <c r="N5" s="2">
        <v>24000</v>
      </c>
      <c r="P5" s="6">
        <v>1020591</v>
      </c>
      <c r="Q5" s="6">
        <v>154000</v>
      </c>
      <c r="S5" s="2">
        <v>1020591</v>
      </c>
      <c r="T5" s="2">
        <v>1245666</v>
      </c>
      <c r="Y5" s="2">
        <v>1020591</v>
      </c>
      <c r="Z5" s="2">
        <v>0</v>
      </c>
      <c r="AB5">
        <v>1020591</v>
      </c>
      <c r="AC5">
        <v>0</v>
      </c>
      <c r="AE5" s="2">
        <v>6552817</v>
      </c>
      <c r="AF5" s="2">
        <v>650000</v>
      </c>
    </row>
    <row r="6" spans="1:32" s="2" customFormat="1" ht="30" customHeight="1" x14ac:dyDescent="0.25">
      <c r="A6" s="1">
        <v>1129034</v>
      </c>
      <c r="B6" s="2">
        <v>1685000</v>
      </c>
      <c r="D6" s="6">
        <v>1347706</v>
      </c>
      <c r="E6" s="6">
        <v>307280</v>
      </c>
      <c r="G6" s="2">
        <v>1161877</v>
      </c>
      <c r="H6" s="2">
        <v>288000</v>
      </c>
      <c r="J6" s="2">
        <v>1161877</v>
      </c>
      <c r="K6" s="2">
        <v>205000</v>
      </c>
      <c r="M6" s="2">
        <v>1161877</v>
      </c>
      <c r="N6" s="2">
        <v>86000</v>
      </c>
      <c r="P6" s="2">
        <v>1161877</v>
      </c>
      <c r="Q6" s="2">
        <v>490000</v>
      </c>
      <c r="S6" s="2">
        <v>1129034</v>
      </c>
      <c r="T6" s="2">
        <v>2534651</v>
      </c>
      <c r="Y6" s="2">
        <v>1129034</v>
      </c>
      <c r="Z6" s="2">
        <v>0</v>
      </c>
      <c r="AB6" s="2">
        <v>1129034</v>
      </c>
      <c r="AC6" s="2">
        <v>0</v>
      </c>
      <c r="AE6" s="2">
        <v>4530859</v>
      </c>
      <c r="AF6" s="2">
        <v>484611</v>
      </c>
    </row>
    <row r="7" spans="1:32" s="2" customFormat="1" ht="30" customHeight="1" x14ac:dyDescent="0.25">
      <c r="A7" s="1">
        <v>1161877</v>
      </c>
      <c r="B7" s="2">
        <v>3886000</v>
      </c>
      <c r="D7" s="2">
        <v>2293541</v>
      </c>
      <c r="E7" s="2">
        <v>162822</v>
      </c>
      <c r="G7" s="2">
        <v>1220799</v>
      </c>
      <c r="H7" s="2">
        <v>252000</v>
      </c>
      <c r="J7" s="2">
        <v>1201824</v>
      </c>
      <c r="K7" s="2">
        <v>13000</v>
      </c>
      <c r="M7" s="2">
        <v>1220799</v>
      </c>
      <c r="N7" s="2">
        <v>37000</v>
      </c>
      <c r="P7" s="2">
        <v>1201824</v>
      </c>
      <c r="Q7" s="2">
        <v>51000</v>
      </c>
      <c r="S7" s="2">
        <v>1161877</v>
      </c>
      <c r="T7" s="2">
        <v>4512601</v>
      </c>
      <c r="Y7" s="2">
        <v>1161877</v>
      </c>
      <c r="Z7" s="2">
        <v>0</v>
      </c>
      <c r="AB7" s="2">
        <v>1161877</v>
      </c>
      <c r="AC7" s="2">
        <v>0</v>
      </c>
      <c r="AE7" s="2">
        <v>9450189</v>
      </c>
      <c r="AF7" s="2">
        <v>387688</v>
      </c>
    </row>
    <row r="8" spans="1:32" s="2" customFormat="1" ht="30" customHeight="1" x14ac:dyDescent="0.25">
      <c r="A8" s="1">
        <v>1201824</v>
      </c>
      <c r="B8" s="2">
        <v>322000</v>
      </c>
      <c r="D8" s="2">
        <v>2527518</v>
      </c>
      <c r="E8" s="2">
        <v>756000</v>
      </c>
      <c r="G8" s="2">
        <v>1226991</v>
      </c>
      <c r="H8" s="2">
        <v>754883</v>
      </c>
      <c r="J8" s="2">
        <v>1220799</v>
      </c>
      <c r="K8" s="2">
        <v>87000</v>
      </c>
      <c r="M8" s="2">
        <v>1226991</v>
      </c>
      <c r="N8" s="2">
        <v>81000</v>
      </c>
      <c r="P8" s="2">
        <v>1220799</v>
      </c>
      <c r="Q8" s="2">
        <v>237000</v>
      </c>
      <c r="S8" s="2">
        <v>1201824</v>
      </c>
      <c r="T8" s="2">
        <v>157609</v>
      </c>
      <c r="Y8" s="2">
        <v>1201824</v>
      </c>
      <c r="Z8" s="2">
        <v>0</v>
      </c>
      <c r="AB8" s="2">
        <v>1201824</v>
      </c>
      <c r="AC8" s="2">
        <v>0</v>
      </c>
      <c r="AE8" s="2">
        <v>5293571</v>
      </c>
      <c r="AF8" s="2">
        <v>550000</v>
      </c>
    </row>
    <row r="9" spans="1:32" s="2" customFormat="1" ht="30" customHeight="1" x14ac:dyDescent="0.25">
      <c r="A9" s="1">
        <v>1220799</v>
      </c>
      <c r="B9" s="2">
        <v>1883000</v>
      </c>
      <c r="D9" s="2">
        <v>3596108</v>
      </c>
      <c r="E9" s="2">
        <v>2265146</v>
      </c>
      <c r="G9" s="2">
        <v>1229581</v>
      </c>
      <c r="H9" s="2">
        <v>180000</v>
      </c>
      <c r="J9" s="2">
        <v>1226991</v>
      </c>
      <c r="K9" s="2">
        <v>231000</v>
      </c>
      <c r="M9" s="2">
        <v>1229581</v>
      </c>
      <c r="N9" s="2">
        <v>54000</v>
      </c>
      <c r="P9" s="2">
        <v>1226991</v>
      </c>
      <c r="Q9" s="2">
        <v>490000</v>
      </c>
      <c r="S9" s="2">
        <v>1220799</v>
      </c>
      <c r="T9" s="2">
        <v>1636002</v>
      </c>
      <c r="Y9" s="2">
        <v>1220799</v>
      </c>
      <c r="Z9" s="2">
        <v>0</v>
      </c>
      <c r="AB9" s="2">
        <v>1220799</v>
      </c>
      <c r="AC9" s="2">
        <v>0</v>
      </c>
      <c r="AE9" s="2">
        <v>9220832</v>
      </c>
      <c r="AF9" s="2">
        <v>0</v>
      </c>
    </row>
    <row r="10" spans="1:32" s="2" customFormat="1" ht="30" customHeight="1" x14ac:dyDescent="0.25">
      <c r="A10" s="1">
        <v>1226991</v>
      </c>
      <c r="B10" s="2">
        <v>2712000</v>
      </c>
      <c r="D10" s="2">
        <v>3865693</v>
      </c>
      <c r="E10" s="2">
        <v>97184</v>
      </c>
      <c r="G10" s="2">
        <v>1273599</v>
      </c>
      <c r="H10" s="2">
        <v>90000</v>
      </c>
      <c r="J10" s="2">
        <v>1229581</v>
      </c>
      <c r="K10" s="2">
        <v>118000</v>
      </c>
      <c r="M10" s="2">
        <v>1273599</v>
      </c>
      <c r="N10" s="2">
        <v>27000</v>
      </c>
      <c r="P10" s="2">
        <v>1229581</v>
      </c>
      <c r="Q10" s="2">
        <v>348000</v>
      </c>
      <c r="S10" s="2">
        <v>1226991</v>
      </c>
      <c r="T10" s="2">
        <v>4172686</v>
      </c>
      <c r="Y10" s="2">
        <v>1226991</v>
      </c>
      <c r="Z10" s="2">
        <v>0</v>
      </c>
      <c r="AB10" s="2">
        <v>1226991</v>
      </c>
      <c r="AC10" s="2">
        <v>0</v>
      </c>
      <c r="AE10" s="2">
        <v>3190180</v>
      </c>
      <c r="AF10" s="2">
        <v>500000</v>
      </c>
    </row>
    <row r="11" spans="1:32" s="2" customFormat="1" ht="30" customHeight="1" x14ac:dyDescent="0.25">
      <c r="A11" s="1">
        <v>1229581</v>
      </c>
      <c r="B11" s="2">
        <v>2552000</v>
      </c>
      <c r="D11" s="2">
        <v>3959325</v>
      </c>
      <c r="E11" s="2">
        <v>834500</v>
      </c>
      <c r="G11" s="2">
        <v>1297986</v>
      </c>
      <c r="H11" s="2">
        <v>1300000</v>
      </c>
      <c r="J11" s="2">
        <v>1303151</v>
      </c>
      <c r="K11" s="2">
        <v>48000</v>
      </c>
      <c r="M11" s="2">
        <v>1297986</v>
      </c>
      <c r="N11" s="2">
        <v>110000</v>
      </c>
      <c r="P11" s="2">
        <v>1297986</v>
      </c>
      <c r="Q11" s="2">
        <v>490000</v>
      </c>
      <c r="S11" s="2">
        <v>1229581</v>
      </c>
      <c r="T11" s="2">
        <v>2322662</v>
      </c>
      <c r="Y11" s="2">
        <v>1229581</v>
      </c>
      <c r="Z11" s="2">
        <v>0</v>
      </c>
      <c r="AB11" s="2">
        <v>1229581</v>
      </c>
      <c r="AC11" s="2">
        <v>650000</v>
      </c>
      <c r="AE11" s="2">
        <v>4094333</v>
      </c>
      <c r="AF11" s="2">
        <v>581533</v>
      </c>
    </row>
    <row r="12" spans="1:32" s="2" customFormat="1" ht="30" customHeight="1" x14ac:dyDescent="0.25">
      <c r="A12" s="1">
        <v>1273599</v>
      </c>
      <c r="B12" s="2">
        <v>1093000</v>
      </c>
      <c r="D12" s="2">
        <v>4353078</v>
      </c>
      <c r="E12" s="2">
        <v>681660</v>
      </c>
      <c r="G12" s="2">
        <v>1303151</v>
      </c>
      <c r="H12" s="2">
        <v>180000</v>
      </c>
      <c r="J12" s="2">
        <v>1372957</v>
      </c>
      <c r="K12" s="2">
        <v>43000</v>
      </c>
      <c r="M12" s="2">
        <v>1303151</v>
      </c>
      <c r="N12" s="2">
        <v>20000</v>
      </c>
      <c r="P12" s="2">
        <v>1303151</v>
      </c>
      <c r="Q12" s="2">
        <v>131000</v>
      </c>
      <c r="S12" s="2">
        <v>1273599</v>
      </c>
      <c r="T12" s="2">
        <v>1175156</v>
      </c>
      <c r="Y12" s="2">
        <v>1273599</v>
      </c>
      <c r="Z12" s="2">
        <v>0</v>
      </c>
      <c r="AB12" s="2">
        <v>1273599</v>
      </c>
      <c r="AC12" s="2">
        <v>0</v>
      </c>
      <c r="AE12" s="2">
        <v>7885329</v>
      </c>
      <c r="AF12" s="2">
        <v>400000</v>
      </c>
    </row>
    <row r="13" spans="1:32" s="2" customFormat="1" ht="30" customHeight="1" x14ac:dyDescent="0.25">
      <c r="A13" s="1">
        <v>1280179</v>
      </c>
      <c r="B13" s="2">
        <v>225000</v>
      </c>
      <c r="D13" s="2">
        <v>4418892</v>
      </c>
      <c r="E13" s="2">
        <v>945591</v>
      </c>
      <c r="G13" s="2">
        <v>1347706</v>
      </c>
      <c r="H13" s="2">
        <v>1080000</v>
      </c>
      <c r="J13" s="2">
        <v>1420566</v>
      </c>
      <c r="K13" s="2">
        <v>64000</v>
      </c>
      <c r="M13" s="2">
        <v>1410170</v>
      </c>
      <c r="N13" s="2">
        <v>153000</v>
      </c>
      <c r="P13" s="2">
        <v>1420566</v>
      </c>
      <c r="Q13" s="2">
        <v>174000</v>
      </c>
      <c r="S13" s="2">
        <v>1280179</v>
      </c>
      <c r="T13" s="2">
        <v>192019</v>
      </c>
      <c r="Y13" s="2">
        <v>1280179</v>
      </c>
      <c r="Z13" s="2">
        <v>0</v>
      </c>
      <c r="AB13" s="2">
        <v>1280179</v>
      </c>
      <c r="AC13" s="2">
        <v>0</v>
      </c>
      <c r="AE13" s="2">
        <v>1701584</v>
      </c>
      <c r="AF13" s="2">
        <v>250000</v>
      </c>
    </row>
    <row r="14" spans="1:32" s="2" customFormat="1" ht="30" customHeight="1" x14ac:dyDescent="0.25">
      <c r="A14" s="1">
        <v>1297986</v>
      </c>
      <c r="B14" s="2">
        <v>4322000</v>
      </c>
      <c r="D14" s="2">
        <v>4630845</v>
      </c>
      <c r="E14" s="2">
        <v>1150000</v>
      </c>
      <c r="G14" s="2">
        <v>1410170</v>
      </c>
      <c r="H14" s="2">
        <v>471347</v>
      </c>
      <c r="J14" s="2">
        <v>1457407</v>
      </c>
      <c r="K14" s="2">
        <v>43000</v>
      </c>
      <c r="M14" s="2">
        <v>1464519</v>
      </c>
      <c r="N14" s="2">
        <v>18000</v>
      </c>
      <c r="P14" s="2">
        <v>1464519</v>
      </c>
      <c r="Q14" s="2">
        <v>116000</v>
      </c>
      <c r="S14" s="2">
        <v>1297986</v>
      </c>
      <c r="T14" s="2">
        <v>4657614</v>
      </c>
      <c r="Y14" s="2">
        <v>1297986</v>
      </c>
      <c r="Z14" s="2">
        <v>0</v>
      </c>
      <c r="AB14" s="2">
        <v>1297986</v>
      </c>
      <c r="AC14" s="2">
        <v>0</v>
      </c>
      <c r="AE14" s="2">
        <v>2632467</v>
      </c>
      <c r="AF14" s="2">
        <v>1100000</v>
      </c>
    </row>
    <row r="15" spans="1:32" s="2" customFormat="1" ht="30" customHeight="1" x14ac:dyDescent="0.25">
      <c r="A15" s="1">
        <v>1303151</v>
      </c>
      <c r="B15" s="2">
        <v>1346000</v>
      </c>
      <c r="D15" s="2">
        <v>4661168</v>
      </c>
      <c r="E15" s="2">
        <v>649266</v>
      </c>
      <c r="G15" s="2">
        <v>1420566</v>
      </c>
      <c r="H15" s="2">
        <v>90000</v>
      </c>
      <c r="J15" s="2">
        <v>1656576</v>
      </c>
      <c r="K15" s="2">
        <v>72000</v>
      </c>
      <c r="M15" s="2">
        <v>1526260</v>
      </c>
      <c r="N15" s="2">
        <v>46000</v>
      </c>
      <c r="P15" s="2">
        <v>1656576</v>
      </c>
      <c r="Q15" s="2">
        <v>236000</v>
      </c>
      <c r="S15" s="2">
        <v>1303151</v>
      </c>
      <c r="T15" s="2">
        <v>1148274</v>
      </c>
      <c r="Y15" s="2">
        <v>1303151</v>
      </c>
      <c r="Z15" s="2">
        <v>0</v>
      </c>
      <c r="AB15" s="2">
        <v>1303151</v>
      </c>
      <c r="AC15" s="2">
        <v>0</v>
      </c>
      <c r="AE15" s="2">
        <v>4337287</v>
      </c>
      <c r="AF15" s="2">
        <v>450000</v>
      </c>
    </row>
    <row r="16" spans="1:32" s="2" customFormat="1" ht="30" customHeight="1" x14ac:dyDescent="0.25">
      <c r="A16" s="1">
        <v>1347706</v>
      </c>
      <c r="B16" s="2">
        <v>12985000</v>
      </c>
      <c r="D16" s="2">
        <v>4823957</v>
      </c>
      <c r="E16" s="2">
        <v>550277</v>
      </c>
      <c r="G16" s="2">
        <v>1464519</v>
      </c>
      <c r="H16" s="2">
        <v>241901</v>
      </c>
      <c r="J16" s="2">
        <v>1775589</v>
      </c>
      <c r="K16" s="2">
        <v>130000</v>
      </c>
      <c r="M16" s="6">
        <v>1656576</v>
      </c>
      <c r="N16" s="6">
        <v>25000</v>
      </c>
      <c r="P16" s="2">
        <v>1775589</v>
      </c>
      <c r="Q16" s="2">
        <v>354000</v>
      </c>
      <c r="S16" s="2">
        <v>1347706</v>
      </c>
      <c r="T16" s="2">
        <v>10599450</v>
      </c>
      <c r="Y16" s="2">
        <v>1347706</v>
      </c>
      <c r="Z16" s="2">
        <v>1964889</v>
      </c>
      <c r="AB16" s="2">
        <v>1347706</v>
      </c>
      <c r="AC16" s="2">
        <v>0</v>
      </c>
      <c r="AE16" s="2">
        <v>5393471</v>
      </c>
      <c r="AF16" s="2">
        <v>650000</v>
      </c>
    </row>
    <row r="17" spans="1:32" s="2" customFormat="1" ht="30" customHeight="1" x14ac:dyDescent="0.25">
      <c r="A17" s="1">
        <v>1410170</v>
      </c>
      <c r="B17" s="2">
        <v>5757000</v>
      </c>
      <c r="D17" s="2">
        <v>4873800</v>
      </c>
      <c r="E17" s="2">
        <v>160000</v>
      </c>
      <c r="G17" s="2">
        <v>1467756</v>
      </c>
      <c r="H17" s="2">
        <v>0</v>
      </c>
      <c r="J17" s="2">
        <v>1807508</v>
      </c>
      <c r="K17" s="2">
        <v>64000</v>
      </c>
      <c r="M17" s="2">
        <v>1807508</v>
      </c>
      <c r="N17" s="2">
        <v>27000</v>
      </c>
      <c r="P17" s="2">
        <v>2049573</v>
      </c>
      <c r="Q17" s="2">
        <v>490000</v>
      </c>
      <c r="S17" s="2">
        <v>1410170</v>
      </c>
      <c r="T17" s="2">
        <v>5388822</v>
      </c>
      <c r="Y17" s="2">
        <v>1410170</v>
      </c>
      <c r="Z17" s="2">
        <v>0</v>
      </c>
      <c r="AB17">
        <v>1410170</v>
      </c>
      <c r="AC17">
        <v>0</v>
      </c>
      <c r="AE17" s="2">
        <v>5833201</v>
      </c>
      <c r="AF17" s="2">
        <v>450000</v>
      </c>
    </row>
    <row r="18" spans="1:32" s="2" customFormat="1" ht="30" customHeight="1" x14ac:dyDescent="0.25">
      <c r="A18" s="1">
        <v>1420566</v>
      </c>
      <c r="B18" s="2">
        <v>1590000</v>
      </c>
      <c r="D18" s="2">
        <v>4890597</v>
      </c>
      <c r="E18" s="2">
        <v>278400</v>
      </c>
      <c r="G18" s="2">
        <v>1526260</v>
      </c>
      <c r="H18" s="2">
        <v>280036</v>
      </c>
      <c r="J18" s="2">
        <v>2049573</v>
      </c>
      <c r="K18" s="2">
        <v>290000</v>
      </c>
      <c r="M18" s="2">
        <v>1947710</v>
      </c>
      <c r="N18" s="2">
        <v>45000</v>
      </c>
      <c r="P18" s="2">
        <v>2164863</v>
      </c>
      <c r="Q18" s="2">
        <v>143000</v>
      </c>
      <c r="S18" s="2">
        <v>1420566</v>
      </c>
      <c r="T18" s="2">
        <v>1410188</v>
      </c>
      <c r="Y18" s="2">
        <v>1420566</v>
      </c>
      <c r="Z18" s="2">
        <v>0</v>
      </c>
      <c r="AB18" s="2">
        <v>1420566</v>
      </c>
      <c r="AC18" s="2">
        <v>0</v>
      </c>
      <c r="AE18" s="2">
        <v>3959325</v>
      </c>
      <c r="AF18" s="2">
        <v>1850000</v>
      </c>
    </row>
    <row r="19" spans="1:32" s="2" customFormat="1" ht="30" customHeight="1" x14ac:dyDescent="0.25">
      <c r="A19" s="1">
        <v>1464519</v>
      </c>
      <c r="B19" s="2">
        <v>804000</v>
      </c>
      <c r="D19" s="2">
        <v>5391602</v>
      </c>
      <c r="E19" s="2">
        <v>479471</v>
      </c>
      <c r="G19" s="2">
        <v>1656576</v>
      </c>
      <c r="H19" s="2">
        <v>246240</v>
      </c>
      <c r="J19" s="2">
        <v>2164863</v>
      </c>
      <c r="K19" s="2">
        <v>44000</v>
      </c>
      <c r="M19" s="2">
        <v>2049573</v>
      </c>
      <c r="N19" s="2">
        <v>268000</v>
      </c>
      <c r="P19" s="2">
        <v>2284277</v>
      </c>
      <c r="Q19" s="2">
        <v>22000</v>
      </c>
      <c r="S19" s="2">
        <v>1464519</v>
      </c>
      <c r="T19" s="2">
        <v>829522</v>
      </c>
      <c r="Y19" s="2">
        <v>1464519</v>
      </c>
      <c r="Z19" s="2">
        <v>0</v>
      </c>
      <c r="AB19" s="2">
        <v>1464519</v>
      </c>
      <c r="AC19" s="2">
        <v>0</v>
      </c>
      <c r="AE19" s="2">
        <v>4823957</v>
      </c>
      <c r="AF19" s="2">
        <v>1450000</v>
      </c>
    </row>
    <row r="20" spans="1:32" s="2" customFormat="1" ht="30" customHeight="1" x14ac:dyDescent="0.25">
      <c r="A20" s="3">
        <v>1467756</v>
      </c>
      <c r="B20" s="2">
        <v>3751000</v>
      </c>
      <c r="D20" s="2">
        <v>5563434</v>
      </c>
      <c r="E20" s="2">
        <v>624367</v>
      </c>
      <c r="G20" s="6">
        <v>1701584</v>
      </c>
      <c r="H20" s="6">
        <v>66000</v>
      </c>
      <c r="J20" s="2">
        <v>2284277</v>
      </c>
      <c r="K20" s="2">
        <v>5000</v>
      </c>
      <c r="M20" s="2">
        <v>2084701</v>
      </c>
      <c r="N20" s="2">
        <v>90000</v>
      </c>
      <c r="P20" s="2">
        <v>2453453</v>
      </c>
      <c r="Q20" s="2">
        <v>87000</v>
      </c>
      <c r="S20" s="2">
        <v>1467756</v>
      </c>
      <c r="T20" s="2">
        <v>3337444</v>
      </c>
      <c r="Y20" s="2">
        <v>1467756</v>
      </c>
      <c r="Z20" s="2">
        <v>1358437</v>
      </c>
      <c r="AB20" s="2">
        <v>1467756</v>
      </c>
      <c r="AC20" s="2">
        <v>0</v>
      </c>
      <c r="AE20" s="2">
        <v>1656576</v>
      </c>
      <c r="AF20" s="2">
        <v>200000</v>
      </c>
    </row>
    <row r="21" spans="1:32" s="2" customFormat="1" ht="30" customHeight="1" x14ac:dyDescent="0.25">
      <c r="A21" s="1">
        <v>1526260</v>
      </c>
      <c r="B21" s="2">
        <v>1717000</v>
      </c>
      <c r="D21" s="2">
        <v>6265472</v>
      </c>
      <c r="E21" s="2">
        <v>337147</v>
      </c>
      <c r="G21" s="2">
        <v>1775589</v>
      </c>
      <c r="H21" s="2">
        <v>20000</v>
      </c>
      <c r="J21" s="2">
        <v>2453453</v>
      </c>
      <c r="K21" s="2">
        <v>32000</v>
      </c>
      <c r="M21" s="2">
        <v>2088349</v>
      </c>
      <c r="N21" s="2">
        <v>45000</v>
      </c>
      <c r="P21" s="2">
        <v>2481915</v>
      </c>
      <c r="Q21" s="2">
        <v>203000</v>
      </c>
      <c r="S21" s="2">
        <v>1526260</v>
      </c>
      <c r="T21" s="2">
        <v>2234987</v>
      </c>
      <c r="Y21" s="2">
        <v>1526260</v>
      </c>
      <c r="Z21" s="2">
        <v>0</v>
      </c>
      <c r="AB21" s="2">
        <v>1526260</v>
      </c>
      <c r="AC21" s="2">
        <v>0</v>
      </c>
      <c r="AE21" s="2">
        <v>1840164</v>
      </c>
      <c r="AF21" s="2">
        <v>35000</v>
      </c>
    </row>
    <row r="22" spans="1:32" s="2" customFormat="1" ht="30" customHeight="1" x14ac:dyDescent="0.25">
      <c r="A22" s="1">
        <v>1656576</v>
      </c>
      <c r="B22" s="2">
        <v>1100000</v>
      </c>
      <c r="D22" s="2">
        <v>6650186</v>
      </c>
      <c r="E22" s="2">
        <v>552500</v>
      </c>
      <c r="G22" s="2">
        <v>2038560</v>
      </c>
      <c r="H22" s="2">
        <v>90500</v>
      </c>
      <c r="J22" s="2">
        <v>2481915</v>
      </c>
      <c r="K22" s="2">
        <v>75000</v>
      </c>
      <c r="M22" s="2">
        <v>2164863</v>
      </c>
      <c r="N22" s="2">
        <v>15000</v>
      </c>
      <c r="P22" s="2">
        <v>2527518</v>
      </c>
      <c r="Q22" s="2">
        <v>490000</v>
      </c>
      <c r="S22" s="2">
        <v>1656576</v>
      </c>
      <c r="T22" s="2">
        <v>1125201</v>
      </c>
      <c r="Y22" s="2">
        <v>1656576</v>
      </c>
      <c r="Z22" s="2">
        <v>0</v>
      </c>
      <c r="AB22" s="2">
        <v>1656576</v>
      </c>
      <c r="AC22" s="2">
        <v>0</v>
      </c>
      <c r="AE22" s="2">
        <v>2164863</v>
      </c>
      <c r="AF22" s="2">
        <v>150000</v>
      </c>
    </row>
    <row r="23" spans="1:32" s="2" customFormat="1" ht="30" customHeight="1" x14ac:dyDescent="0.25">
      <c r="A23" s="1">
        <v>1660265</v>
      </c>
      <c r="B23" s="2">
        <v>2092000</v>
      </c>
      <c r="D23" s="2">
        <v>7007714</v>
      </c>
      <c r="E23" s="2">
        <v>817171</v>
      </c>
      <c r="G23" s="2">
        <v>2049573</v>
      </c>
      <c r="H23" s="2">
        <v>2301071</v>
      </c>
      <c r="J23" s="2">
        <v>2527518</v>
      </c>
      <c r="K23" s="2">
        <v>254000</v>
      </c>
      <c r="M23" s="2">
        <v>2308616</v>
      </c>
      <c r="N23" s="2">
        <v>290000</v>
      </c>
      <c r="P23" s="2">
        <v>2584331</v>
      </c>
      <c r="Q23" s="2">
        <v>174000</v>
      </c>
      <c r="S23" s="2">
        <v>1660265</v>
      </c>
      <c r="T23" s="2">
        <v>1868420</v>
      </c>
      <c r="Y23" s="2">
        <v>1660265</v>
      </c>
      <c r="Z23" s="2">
        <v>905411.17</v>
      </c>
      <c r="AB23" s="2">
        <v>1660265</v>
      </c>
      <c r="AC23" s="2">
        <v>0</v>
      </c>
      <c r="AE23" s="2">
        <v>2453453</v>
      </c>
      <c r="AF23" s="2">
        <v>200000</v>
      </c>
    </row>
    <row r="24" spans="1:32" s="2" customFormat="1" ht="30" customHeight="1" x14ac:dyDescent="0.25">
      <c r="A24" s="39">
        <v>1701584</v>
      </c>
      <c r="B24" s="6">
        <v>1568000</v>
      </c>
      <c r="D24" s="2">
        <v>7044506</v>
      </c>
      <c r="E24" s="2">
        <v>895200</v>
      </c>
      <c r="G24" s="2">
        <v>2138835</v>
      </c>
      <c r="H24" s="2">
        <v>2800356</v>
      </c>
      <c r="J24" s="2">
        <v>2584331</v>
      </c>
      <c r="K24" s="2">
        <v>64000</v>
      </c>
      <c r="M24" s="2">
        <v>2453453</v>
      </c>
      <c r="N24" s="2">
        <v>13000</v>
      </c>
      <c r="P24" s="2">
        <v>2718583</v>
      </c>
      <c r="Q24" s="2">
        <v>151000</v>
      </c>
      <c r="S24" s="6">
        <v>1701584</v>
      </c>
      <c r="T24" s="6">
        <v>973306</v>
      </c>
      <c r="Y24" s="6">
        <v>1701584</v>
      </c>
      <c r="Z24" s="6">
        <v>699512</v>
      </c>
      <c r="AB24" s="6">
        <v>1701584</v>
      </c>
      <c r="AC24" s="6">
        <v>0</v>
      </c>
      <c r="AE24" s="2">
        <v>3852372</v>
      </c>
      <c r="AF24" s="2">
        <v>950000</v>
      </c>
    </row>
    <row r="25" spans="1:32" s="2" customFormat="1" ht="30" customHeight="1" x14ac:dyDescent="0.25">
      <c r="A25" s="1">
        <v>1775589</v>
      </c>
      <c r="B25" s="2">
        <v>2283000</v>
      </c>
      <c r="D25" s="2">
        <v>7143232</v>
      </c>
      <c r="E25" s="2">
        <v>254700</v>
      </c>
      <c r="G25" s="2">
        <v>2164863</v>
      </c>
      <c r="H25" s="2">
        <v>210053</v>
      </c>
      <c r="J25" s="2">
        <v>2930990</v>
      </c>
      <c r="K25" s="2">
        <v>107000</v>
      </c>
      <c r="M25" s="2">
        <v>2481915</v>
      </c>
      <c r="N25" s="2">
        <v>31000</v>
      </c>
      <c r="P25" s="2">
        <v>2925974</v>
      </c>
      <c r="Q25" s="2">
        <v>406000</v>
      </c>
      <c r="S25" s="2">
        <v>1760206</v>
      </c>
      <c r="T25" s="2">
        <v>8516077</v>
      </c>
      <c r="Y25" s="2">
        <v>1775589</v>
      </c>
      <c r="Z25" s="2">
        <v>0</v>
      </c>
      <c r="AB25" s="2">
        <v>1775589</v>
      </c>
      <c r="AC25" s="2">
        <v>0</v>
      </c>
      <c r="AE25" s="2">
        <v>4148036</v>
      </c>
      <c r="AF25" s="2">
        <v>25000</v>
      </c>
    </row>
    <row r="26" spans="1:32" s="2" customFormat="1" ht="30" customHeight="1" x14ac:dyDescent="0.25">
      <c r="A26" s="1">
        <v>1807508</v>
      </c>
      <c r="B26" s="2">
        <v>1345000</v>
      </c>
      <c r="D26" s="2">
        <v>7326055</v>
      </c>
      <c r="E26" s="2">
        <v>855352</v>
      </c>
      <c r="G26" s="2">
        <v>2293541</v>
      </c>
      <c r="H26" s="2">
        <v>381000</v>
      </c>
      <c r="J26" s="2">
        <v>3069495</v>
      </c>
      <c r="K26" s="2">
        <v>128000</v>
      </c>
      <c r="M26" s="2">
        <v>2552651</v>
      </c>
      <c r="N26" s="2">
        <v>21000</v>
      </c>
      <c r="P26" s="2">
        <v>2930990</v>
      </c>
      <c r="Q26" s="2">
        <v>290000</v>
      </c>
      <c r="S26" s="2">
        <v>1775589</v>
      </c>
      <c r="T26" s="2">
        <v>1854904</v>
      </c>
      <c r="Y26" s="2">
        <v>1807508</v>
      </c>
      <c r="Z26" s="2">
        <v>0</v>
      </c>
      <c r="AB26" s="2">
        <v>1807508</v>
      </c>
      <c r="AC26" s="2">
        <v>0</v>
      </c>
      <c r="AE26" s="2">
        <v>5362299</v>
      </c>
      <c r="AF26" s="2">
        <v>150000</v>
      </c>
    </row>
    <row r="27" spans="1:32" s="2" customFormat="1" ht="30" customHeight="1" x14ac:dyDescent="0.25">
      <c r="A27" s="1">
        <v>1840164</v>
      </c>
      <c r="B27" s="2">
        <v>132000</v>
      </c>
      <c r="D27" s="2">
        <v>7471836</v>
      </c>
      <c r="E27" s="2">
        <v>1893500</v>
      </c>
      <c r="G27" s="2">
        <v>2308616</v>
      </c>
      <c r="H27" s="2">
        <v>621000</v>
      </c>
      <c r="J27" s="2">
        <v>3146268</v>
      </c>
      <c r="K27" s="2">
        <v>139000</v>
      </c>
      <c r="M27" s="2">
        <v>2574699</v>
      </c>
      <c r="N27" s="2">
        <v>27000</v>
      </c>
      <c r="P27" s="2">
        <v>3069495</v>
      </c>
      <c r="Q27" s="2">
        <v>348000</v>
      </c>
      <c r="S27" s="2">
        <v>1807508</v>
      </c>
      <c r="T27" s="2">
        <v>1244283</v>
      </c>
      <c r="Y27" s="2">
        <v>1840164</v>
      </c>
      <c r="Z27" s="2">
        <v>0</v>
      </c>
      <c r="AB27" s="2">
        <v>1840164</v>
      </c>
      <c r="AC27" s="2">
        <v>0</v>
      </c>
      <c r="AE27" s="2">
        <v>5451090</v>
      </c>
      <c r="AF27" s="2">
        <v>25000</v>
      </c>
    </row>
    <row r="28" spans="1:32" s="2" customFormat="1" ht="30" customHeight="1" x14ac:dyDescent="0.25">
      <c r="A28" s="1">
        <v>1853485</v>
      </c>
      <c r="B28" s="2">
        <v>227000</v>
      </c>
      <c r="D28" s="2">
        <v>7734736</v>
      </c>
      <c r="E28" s="2">
        <v>1098090</v>
      </c>
      <c r="G28" s="2">
        <v>2480451</v>
      </c>
      <c r="H28" s="2">
        <v>81330</v>
      </c>
      <c r="J28" s="2">
        <v>3148048</v>
      </c>
      <c r="K28" s="2">
        <v>64000</v>
      </c>
      <c r="M28" s="2">
        <v>2584331</v>
      </c>
      <c r="N28" s="2">
        <v>27000</v>
      </c>
      <c r="P28" s="2">
        <v>3146268</v>
      </c>
      <c r="Q28" s="2">
        <v>261000</v>
      </c>
      <c r="S28" s="2">
        <v>1840164</v>
      </c>
      <c r="T28" s="2">
        <v>124428</v>
      </c>
      <c r="Y28" s="2">
        <v>1853485</v>
      </c>
      <c r="Z28" s="2">
        <v>0</v>
      </c>
      <c r="AB28" s="2">
        <v>1853485</v>
      </c>
      <c r="AC28" s="2">
        <v>0</v>
      </c>
      <c r="AE28" s="2">
        <v>6806376</v>
      </c>
      <c r="AF28" s="2">
        <v>150000</v>
      </c>
    </row>
    <row r="29" spans="1:32" s="2" customFormat="1" ht="30" customHeight="1" x14ac:dyDescent="0.25">
      <c r="A29" s="1">
        <v>1947710</v>
      </c>
      <c r="B29" s="2">
        <v>893000</v>
      </c>
      <c r="D29" s="2">
        <v>7759833</v>
      </c>
      <c r="E29" s="2">
        <v>989512</v>
      </c>
      <c r="G29" s="2">
        <v>2481915</v>
      </c>
      <c r="H29" s="2">
        <v>105000</v>
      </c>
      <c r="J29" s="2">
        <v>3428319</v>
      </c>
      <c r="K29" s="2">
        <v>107000</v>
      </c>
      <c r="M29" s="2">
        <v>2587147</v>
      </c>
      <c r="N29" s="2">
        <v>9000</v>
      </c>
      <c r="P29" s="2">
        <v>3166608</v>
      </c>
      <c r="Q29" s="2">
        <v>490000</v>
      </c>
      <c r="S29" s="2">
        <v>1853485</v>
      </c>
      <c r="T29" s="2">
        <v>307230</v>
      </c>
      <c r="Y29" s="2">
        <v>1947710</v>
      </c>
      <c r="Z29" s="2">
        <v>0</v>
      </c>
      <c r="AB29" s="2">
        <v>1947710</v>
      </c>
      <c r="AC29" s="2">
        <v>0</v>
      </c>
      <c r="AE29" s="2">
        <v>7135154</v>
      </c>
      <c r="AF29" s="2">
        <v>600000</v>
      </c>
    </row>
    <row r="30" spans="1:32" s="2" customFormat="1" ht="30" customHeight="1" x14ac:dyDescent="0.25">
      <c r="A30" s="1">
        <v>2038560</v>
      </c>
      <c r="B30" s="2">
        <v>2815000</v>
      </c>
      <c r="D30" s="2">
        <v>7885329</v>
      </c>
      <c r="E30" s="2">
        <v>118000</v>
      </c>
      <c r="G30" s="2">
        <v>2522751</v>
      </c>
      <c r="H30" s="2">
        <v>1829936</v>
      </c>
      <c r="J30" s="2">
        <v>3596108</v>
      </c>
      <c r="K30" s="2">
        <v>283000</v>
      </c>
      <c r="M30" s="2">
        <v>2700736</v>
      </c>
      <c r="N30" s="2">
        <v>44000</v>
      </c>
      <c r="P30" s="2">
        <v>3428319</v>
      </c>
      <c r="Q30" s="2">
        <v>290000</v>
      </c>
      <c r="S30" s="2">
        <v>1947710</v>
      </c>
      <c r="T30" s="2">
        <v>998499</v>
      </c>
      <c r="Y30" s="2">
        <v>2038560</v>
      </c>
      <c r="Z30" s="2">
        <v>881490.06</v>
      </c>
      <c r="AB30" s="2">
        <v>2038560</v>
      </c>
      <c r="AC30" s="2">
        <v>0</v>
      </c>
      <c r="AE30" s="2">
        <v>7559709</v>
      </c>
      <c r="AF30" s="2">
        <v>1450000</v>
      </c>
    </row>
    <row r="31" spans="1:32" s="2" customFormat="1" ht="30" customHeight="1" x14ac:dyDescent="0.25">
      <c r="A31" s="1">
        <v>2049573</v>
      </c>
      <c r="B31" s="2">
        <v>10333000</v>
      </c>
      <c r="D31" s="2">
        <v>8208204</v>
      </c>
      <c r="E31" s="2">
        <v>762658</v>
      </c>
      <c r="G31" s="2">
        <v>2527518</v>
      </c>
      <c r="H31" s="2">
        <v>0</v>
      </c>
      <c r="J31" s="2">
        <v>3632154</v>
      </c>
      <c r="K31" s="2">
        <v>118000</v>
      </c>
      <c r="M31" s="2">
        <v>2925974</v>
      </c>
      <c r="N31" s="2">
        <v>63000</v>
      </c>
      <c r="P31" s="2">
        <v>3596108</v>
      </c>
      <c r="Q31" s="2">
        <v>490000</v>
      </c>
      <c r="S31" s="2">
        <v>1979411</v>
      </c>
      <c r="T31" s="2">
        <v>11650659</v>
      </c>
      <c r="Y31" s="2">
        <v>2049573</v>
      </c>
      <c r="Z31" s="2">
        <v>0</v>
      </c>
      <c r="AB31" s="2">
        <v>2049573</v>
      </c>
      <c r="AC31" s="2">
        <v>0</v>
      </c>
      <c r="AE31" s="2">
        <v>9349276</v>
      </c>
      <c r="AF31" s="2">
        <v>900000</v>
      </c>
    </row>
    <row r="32" spans="1:32" s="2" customFormat="1" ht="30" customHeight="1" x14ac:dyDescent="0.25">
      <c r="A32" s="1">
        <v>2073130</v>
      </c>
      <c r="B32" s="2">
        <v>846000</v>
      </c>
      <c r="D32" s="2">
        <v>8419868</v>
      </c>
      <c r="E32" s="2">
        <v>970842</v>
      </c>
      <c r="G32" s="2">
        <v>2584331</v>
      </c>
      <c r="H32" s="2">
        <v>296375</v>
      </c>
      <c r="J32" s="2">
        <v>3661910</v>
      </c>
      <c r="K32" s="2">
        <v>43000</v>
      </c>
      <c r="M32" s="2">
        <v>2930990</v>
      </c>
      <c r="N32" s="2">
        <v>45000</v>
      </c>
      <c r="P32" s="2">
        <v>3632154</v>
      </c>
      <c r="Q32" s="2">
        <v>377000</v>
      </c>
      <c r="S32" s="2">
        <v>2038560</v>
      </c>
      <c r="T32" s="2">
        <v>2515559</v>
      </c>
      <c r="Y32" s="2">
        <v>2073130</v>
      </c>
      <c r="Z32" s="2">
        <v>0</v>
      </c>
      <c r="AB32" s="2">
        <v>2073130</v>
      </c>
      <c r="AC32" s="2">
        <v>330000</v>
      </c>
      <c r="AE32" s="2">
        <v>9725207</v>
      </c>
      <c r="AF32" s="2">
        <v>25000</v>
      </c>
    </row>
    <row r="33" spans="1:32" s="2" customFormat="1" ht="30" customHeight="1" x14ac:dyDescent="0.25">
      <c r="A33" s="1">
        <v>2084701</v>
      </c>
      <c r="B33" s="2">
        <v>3120000</v>
      </c>
      <c r="D33" s="2">
        <v>8533092</v>
      </c>
      <c r="E33" s="2">
        <v>1126820</v>
      </c>
      <c r="G33" s="2">
        <v>2632467</v>
      </c>
      <c r="H33" s="2">
        <v>303000</v>
      </c>
      <c r="J33" s="2">
        <v>3775974</v>
      </c>
      <c r="K33" s="2">
        <v>43000</v>
      </c>
      <c r="M33" s="2">
        <v>3001174</v>
      </c>
      <c r="N33" s="2">
        <v>141000</v>
      </c>
      <c r="P33" s="2">
        <v>3661910</v>
      </c>
      <c r="Q33" s="2">
        <v>116000</v>
      </c>
      <c r="S33" s="2">
        <v>2049573</v>
      </c>
      <c r="T33" s="2">
        <v>10753066</v>
      </c>
      <c r="Y33" s="2">
        <v>2084701</v>
      </c>
      <c r="Z33" s="2">
        <v>0</v>
      </c>
      <c r="AB33" s="2">
        <v>2084701</v>
      </c>
      <c r="AC33" s="2">
        <v>0</v>
      </c>
      <c r="AE33" s="2">
        <v>1947710</v>
      </c>
      <c r="AF33" s="2">
        <v>193844</v>
      </c>
    </row>
    <row r="34" spans="1:32" s="2" customFormat="1" ht="30" customHeight="1" x14ac:dyDescent="0.25">
      <c r="A34" s="1">
        <v>2088349</v>
      </c>
      <c r="B34" s="2">
        <v>1562000</v>
      </c>
      <c r="D34" s="2">
        <v>8719331</v>
      </c>
      <c r="E34" s="2">
        <v>700000</v>
      </c>
      <c r="G34" s="2">
        <v>2700736</v>
      </c>
      <c r="H34" s="2">
        <v>135859</v>
      </c>
      <c r="J34" s="2">
        <v>3801846</v>
      </c>
      <c r="K34" s="2">
        <v>57000</v>
      </c>
      <c r="M34" s="2">
        <v>3069495</v>
      </c>
      <c r="N34" s="2">
        <v>54000</v>
      </c>
      <c r="P34" s="2">
        <v>3775974</v>
      </c>
      <c r="Q34" s="2">
        <v>116000</v>
      </c>
      <c r="S34" s="2">
        <v>2073130</v>
      </c>
      <c r="T34" s="2">
        <v>746954</v>
      </c>
      <c r="Y34" s="2">
        <v>2088349</v>
      </c>
      <c r="Z34" s="2">
        <v>0</v>
      </c>
      <c r="AB34" s="2">
        <v>2088349</v>
      </c>
      <c r="AC34" s="2">
        <v>0</v>
      </c>
      <c r="AE34" s="2">
        <v>8396068</v>
      </c>
      <c r="AF34" s="2">
        <v>1150000</v>
      </c>
    </row>
    <row r="35" spans="1:32" s="2" customFormat="1" ht="30" customHeight="1" x14ac:dyDescent="0.25">
      <c r="A35" s="1">
        <v>2138835</v>
      </c>
      <c r="B35" s="2">
        <v>17828000</v>
      </c>
      <c r="D35" s="2">
        <v>8760544</v>
      </c>
      <c r="E35" s="2">
        <v>1816080</v>
      </c>
      <c r="G35" s="2">
        <v>2718583</v>
      </c>
      <c r="H35" s="2">
        <v>0</v>
      </c>
      <c r="J35" s="2">
        <v>3822869</v>
      </c>
      <c r="K35" s="2">
        <v>46000</v>
      </c>
      <c r="M35" s="2">
        <v>3146268</v>
      </c>
      <c r="N35" s="2">
        <v>58000</v>
      </c>
      <c r="P35" s="2">
        <v>3801846</v>
      </c>
      <c r="Q35" s="2">
        <v>154000</v>
      </c>
      <c r="S35" s="2">
        <v>2084701</v>
      </c>
      <c r="T35" s="2">
        <v>3257795</v>
      </c>
      <c r="Y35" s="2">
        <v>2138835</v>
      </c>
      <c r="Z35" s="2">
        <v>6696440.2199999997</v>
      </c>
      <c r="AB35" s="2">
        <v>2138835</v>
      </c>
      <c r="AC35" s="2">
        <v>0</v>
      </c>
      <c r="AE35" s="2">
        <v>2480451</v>
      </c>
      <c r="AF35" s="2">
        <v>347886</v>
      </c>
    </row>
    <row r="36" spans="1:32" s="2" customFormat="1" ht="30" customHeight="1" x14ac:dyDescent="0.25">
      <c r="A36" s="1">
        <v>2164863</v>
      </c>
      <c r="B36" s="2">
        <v>644000</v>
      </c>
      <c r="D36" s="2">
        <v>8899363</v>
      </c>
      <c r="E36" s="2">
        <v>324493</v>
      </c>
      <c r="G36" s="2">
        <v>2925974</v>
      </c>
      <c r="H36" s="2">
        <v>210000</v>
      </c>
      <c r="J36" s="2">
        <v>3843439</v>
      </c>
      <c r="K36" s="2">
        <v>32000</v>
      </c>
      <c r="M36" s="2">
        <v>3166608</v>
      </c>
      <c r="N36" s="2">
        <v>114000</v>
      </c>
      <c r="P36" s="2">
        <v>3822869</v>
      </c>
      <c r="Q36" s="2">
        <v>154000</v>
      </c>
      <c r="S36" s="2">
        <v>2088349</v>
      </c>
      <c r="T36" s="2">
        <v>1642454</v>
      </c>
      <c r="Y36" s="2">
        <v>2164863</v>
      </c>
      <c r="Z36" s="2">
        <v>0</v>
      </c>
      <c r="AB36" s="2">
        <v>2164863</v>
      </c>
      <c r="AC36" s="2">
        <v>0</v>
      </c>
      <c r="AE36" s="2">
        <v>6722018</v>
      </c>
      <c r="AF36" s="2">
        <v>2750000</v>
      </c>
    </row>
    <row r="37" spans="1:32" s="2" customFormat="1" ht="30" customHeight="1" x14ac:dyDescent="0.25">
      <c r="A37" s="1">
        <v>2293541</v>
      </c>
      <c r="B37" s="2">
        <v>6458000</v>
      </c>
      <c r="D37" s="2">
        <v>9266427</v>
      </c>
      <c r="E37" s="2">
        <v>598874</v>
      </c>
      <c r="G37" s="2">
        <v>2928724</v>
      </c>
      <c r="H37" s="2">
        <v>221810</v>
      </c>
      <c r="J37" s="2">
        <v>3852372</v>
      </c>
      <c r="K37" s="2">
        <v>284000</v>
      </c>
      <c r="M37" s="2">
        <v>3428319</v>
      </c>
      <c r="N37" s="2">
        <v>45000</v>
      </c>
      <c r="P37" s="2">
        <v>3843439</v>
      </c>
      <c r="Q37" s="2">
        <v>99000</v>
      </c>
      <c r="S37" s="2">
        <v>2138835</v>
      </c>
      <c r="T37" s="2">
        <v>17238133</v>
      </c>
      <c r="Y37" s="2">
        <v>2284277</v>
      </c>
      <c r="Z37" s="2">
        <v>0</v>
      </c>
      <c r="AB37" s="2">
        <v>2284277</v>
      </c>
      <c r="AC37" s="2">
        <v>0</v>
      </c>
      <c r="AE37" s="2">
        <v>7665554</v>
      </c>
      <c r="AF37" s="2">
        <v>347886</v>
      </c>
    </row>
    <row r="38" spans="1:32" s="2" customFormat="1" ht="30" customHeight="1" x14ac:dyDescent="0.25">
      <c r="A38" s="1">
        <v>2308616</v>
      </c>
      <c r="B38" s="2">
        <v>10030000</v>
      </c>
      <c r="D38" s="2">
        <v>9274680</v>
      </c>
      <c r="E38" s="2">
        <v>133400</v>
      </c>
      <c r="G38" s="2">
        <v>3001174</v>
      </c>
      <c r="H38" s="2">
        <v>970421</v>
      </c>
      <c r="J38" s="2">
        <v>3865693</v>
      </c>
      <c r="K38" s="2">
        <v>219000</v>
      </c>
      <c r="M38" s="2">
        <v>3632154</v>
      </c>
      <c r="N38" s="2">
        <v>49000</v>
      </c>
      <c r="P38" s="2">
        <v>3852372</v>
      </c>
      <c r="Q38" s="2">
        <v>490000</v>
      </c>
      <c r="S38" s="2">
        <v>2164863</v>
      </c>
      <c r="T38" s="2">
        <v>683158</v>
      </c>
      <c r="Y38" s="2">
        <v>2293541</v>
      </c>
      <c r="Z38" s="2">
        <v>2656807.94</v>
      </c>
      <c r="AB38" s="2">
        <v>2293541</v>
      </c>
      <c r="AC38" s="2">
        <v>0</v>
      </c>
      <c r="AE38" s="2">
        <v>6769479</v>
      </c>
      <c r="AF38" s="2">
        <v>300000</v>
      </c>
    </row>
    <row r="39" spans="1:32" s="2" customFormat="1" ht="30" customHeight="1" x14ac:dyDescent="0.25">
      <c r="A39" s="1">
        <v>2453453</v>
      </c>
      <c r="B39" s="2">
        <v>833000</v>
      </c>
      <c r="D39" s="2">
        <v>9314906</v>
      </c>
      <c r="E39" s="2">
        <v>504931</v>
      </c>
      <c r="G39" s="2">
        <v>3055579</v>
      </c>
      <c r="H39" s="2">
        <v>2189704</v>
      </c>
      <c r="J39" s="2">
        <v>3910140</v>
      </c>
      <c r="K39" s="2">
        <v>107000</v>
      </c>
      <c r="M39" s="2">
        <v>3661910</v>
      </c>
      <c r="N39" s="2">
        <v>18000</v>
      </c>
      <c r="P39" s="2">
        <v>3865693</v>
      </c>
      <c r="Q39" s="2">
        <v>490000</v>
      </c>
      <c r="S39" s="2">
        <v>2293541</v>
      </c>
      <c r="T39" s="2">
        <v>5103589</v>
      </c>
      <c r="Y39" s="2">
        <v>2308616</v>
      </c>
      <c r="Z39" s="2">
        <v>0</v>
      </c>
      <c r="AB39">
        <v>2308616</v>
      </c>
      <c r="AC39">
        <v>0</v>
      </c>
      <c r="AE39" s="2">
        <v>4358523</v>
      </c>
      <c r="AF39" s="2">
        <v>100000</v>
      </c>
    </row>
    <row r="40" spans="1:32" s="2" customFormat="1" ht="30" customHeight="1" x14ac:dyDescent="0.25">
      <c r="A40" s="1">
        <v>2480451</v>
      </c>
      <c r="B40" s="2">
        <v>980000</v>
      </c>
      <c r="D40" s="2">
        <v>9621480</v>
      </c>
      <c r="E40" s="2">
        <v>163858</v>
      </c>
      <c r="G40" s="2">
        <v>3069495</v>
      </c>
      <c r="H40" s="2">
        <v>594464</v>
      </c>
      <c r="J40" s="2">
        <v>3912232</v>
      </c>
      <c r="K40" s="2">
        <v>21000</v>
      </c>
      <c r="M40" s="2">
        <v>3702507</v>
      </c>
      <c r="N40" s="2">
        <v>27000</v>
      </c>
      <c r="P40" s="2">
        <v>3910140</v>
      </c>
      <c r="Q40" s="2">
        <v>290000</v>
      </c>
      <c r="S40" s="2">
        <v>2308616</v>
      </c>
      <c r="T40" s="2">
        <v>8548000</v>
      </c>
      <c r="Y40" s="2">
        <v>2446668</v>
      </c>
      <c r="Z40" s="2">
        <v>0</v>
      </c>
      <c r="AB40" s="2">
        <v>2446668</v>
      </c>
      <c r="AC40" s="2">
        <v>0</v>
      </c>
      <c r="AE40" s="2">
        <v>4756138</v>
      </c>
      <c r="AF40" s="2">
        <v>200000</v>
      </c>
    </row>
    <row r="41" spans="1:32" s="2" customFormat="1" ht="30" customHeight="1" x14ac:dyDescent="0.25">
      <c r="A41" s="1">
        <v>2481915</v>
      </c>
      <c r="B41" s="2">
        <v>1984000</v>
      </c>
      <c r="D41" s="2">
        <v>9835515</v>
      </c>
      <c r="E41" s="2">
        <v>1509405</v>
      </c>
      <c r="G41" s="2">
        <v>3139161</v>
      </c>
      <c r="H41" s="2">
        <v>1485000</v>
      </c>
      <c r="J41" s="2">
        <v>3959325</v>
      </c>
      <c r="K41" s="2">
        <v>278000</v>
      </c>
      <c r="M41" s="2">
        <v>3732526</v>
      </c>
      <c r="N41" s="2">
        <v>290000</v>
      </c>
      <c r="P41" s="2">
        <v>3912232</v>
      </c>
      <c r="Q41" s="2">
        <v>57000</v>
      </c>
      <c r="S41" s="2">
        <v>2453453</v>
      </c>
      <c r="T41" s="2">
        <v>788046</v>
      </c>
      <c r="Y41" s="2">
        <v>2453453</v>
      </c>
      <c r="Z41" s="2">
        <v>0</v>
      </c>
      <c r="AB41" s="2">
        <v>2453453</v>
      </c>
      <c r="AC41" s="2">
        <v>0</v>
      </c>
      <c r="AE41" s="2">
        <v>5235056</v>
      </c>
      <c r="AF41" s="2">
        <v>350000</v>
      </c>
    </row>
    <row r="42" spans="1:32" s="2" customFormat="1" ht="30" customHeight="1" x14ac:dyDescent="0.25">
      <c r="A42" s="1">
        <v>2522751</v>
      </c>
      <c r="B42" s="2">
        <v>8571000</v>
      </c>
      <c r="G42" s="2">
        <v>3145588</v>
      </c>
      <c r="H42" s="2">
        <v>54000</v>
      </c>
      <c r="J42" s="2">
        <v>3988103</v>
      </c>
      <c r="K42" s="2">
        <v>290000</v>
      </c>
      <c r="M42" s="2">
        <v>3775974</v>
      </c>
      <c r="N42" s="2">
        <v>18000</v>
      </c>
      <c r="P42" s="2">
        <v>3959325</v>
      </c>
      <c r="Q42" s="2">
        <v>490000</v>
      </c>
      <c r="S42" s="2">
        <v>2480451</v>
      </c>
      <c r="T42" s="2">
        <v>1152114</v>
      </c>
      <c r="Y42" s="2">
        <v>2480451</v>
      </c>
      <c r="Z42" s="2">
        <v>0</v>
      </c>
      <c r="AB42" s="2">
        <v>2480451</v>
      </c>
      <c r="AC42" s="2">
        <v>0</v>
      </c>
      <c r="AE42" s="2">
        <v>5713240</v>
      </c>
      <c r="AF42" s="2">
        <v>850000</v>
      </c>
    </row>
    <row r="43" spans="1:32" s="2" customFormat="1" ht="30" customHeight="1" x14ac:dyDescent="0.25">
      <c r="A43" s="3">
        <v>2527518</v>
      </c>
      <c r="B43" s="2">
        <v>4831000</v>
      </c>
      <c r="G43" s="2">
        <v>3146268</v>
      </c>
      <c r="H43" s="2">
        <v>510000</v>
      </c>
      <c r="J43" s="2">
        <v>4142726</v>
      </c>
      <c r="K43" s="2">
        <v>52000</v>
      </c>
      <c r="M43" s="2">
        <v>3790182</v>
      </c>
      <c r="N43" s="2">
        <v>44000</v>
      </c>
      <c r="P43" s="2">
        <v>3988103</v>
      </c>
      <c r="Q43" s="2">
        <v>490000</v>
      </c>
      <c r="S43" s="2">
        <v>2481915</v>
      </c>
      <c r="T43" s="2">
        <v>1645219</v>
      </c>
      <c r="Y43" s="2">
        <v>2481915</v>
      </c>
      <c r="Z43" s="2">
        <v>0</v>
      </c>
      <c r="AB43" s="2">
        <v>2481915</v>
      </c>
      <c r="AC43" s="2">
        <v>0</v>
      </c>
      <c r="AE43" s="2">
        <v>6719009</v>
      </c>
      <c r="AF43" s="2">
        <v>750000</v>
      </c>
    </row>
    <row r="44" spans="1:32" s="2" customFormat="1" ht="30" customHeight="1" x14ac:dyDescent="0.25">
      <c r="A44" s="1">
        <v>2552651</v>
      </c>
      <c r="B44" s="2">
        <v>751000</v>
      </c>
      <c r="G44" s="2">
        <v>3148048</v>
      </c>
      <c r="H44" s="2">
        <v>164160</v>
      </c>
      <c r="J44" s="2">
        <v>4319542</v>
      </c>
      <c r="K44" s="2">
        <v>5000</v>
      </c>
      <c r="M44" s="2">
        <v>3801846</v>
      </c>
      <c r="N44" s="2">
        <v>24000</v>
      </c>
      <c r="P44" s="2">
        <v>4142726</v>
      </c>
      <c r="Q44" s="2">
        <v>142000</v>
      </c>
      <c r="S44" s="2">
        <v>2522751</v>
      </c>
      <c r="T44" s="2">
        <v>7737696</v>
      </c>
      <c r="Y44" s="2">
        <v>2522751</v>
      </c>
      <c r="Z44" s="2">
        <v>3547167</v>
      </c>
      <c r="AB44" s="2">
        <v>2522751</v>
      </c>
      <c r="AC44" s="2">
        <v>0</v>
      </c>
      <c r="AE44" s="2">
        <v>9813481</v>
      </c>
      <c r="AF44" s="2">
        <v>650000</v>
      </c>
    </row>
    <row r="45" spans="1:32" s="2" customFormat="1" ht="30" customHeight="1" x14ac:dyDescent="0.25">
      <c r="A45" s="1">
        <v>2572767</v>
      </c>
      <c r="B45" s="2">
        <v>7986000</v>
      </c>
      <c r="G45" s="2">
        <v>3152221</v>
      </c>
      <c r="H45" s="2">
        <v>760000</v>
      </c>
      <c r="J45" s="2">
        <v>4343228</v>
      </c>
      <c r="K45" s="2">
        <v>263000</v>
      </c>
      <c r="M45" s="2">
        <v>3822869</v>
      </c>
      <c r="N45" s="2">
        <v>19000</v>
      </c>
      <c r="P45" s="2">
        <v>4319542</v>
      </c>
      <c r="Q45" s="2">
        <v>18000</v>
      </c>
      <c r="S45" s="2">
        <v>2527518</v>
      </c>
      <c r="T45" s="2">
        <v>4747632</v>
      </c>
      <c r="Y45" s="2">
        <v>2527518</v>
      </c>
      <c r="Z45" s="2">
        <v>0</v>
      </c>
      <c r="AB45">
        <v>2527518</v>
      </c>
      <c r="AC45">
        <v>0</v>
      </c>
      <c r="AE45" s="2">
        <v>2038560</v>
      </c>
      <c r="AF45" s="2">
        <v>581533</v>
      </c>
    </row>
    <row r="46" spans="1:32" s="2" customFormat="1" ht="30" customHeight="1" x14ac:dyDescent="0.25">
      <c r="A46" s="1">
        <v>2574699</v>
      </c>
      <c r="B46" s="2">
        <v>870000</v>
      </c>
      <c r="G46" s="2">
        <v>3166608</v>
      </c>
      <c r="H46" s="2">
        <v>554000</v>
      </c>
      <c r="J46" s="2">
        <v>4353078</v>
      </c>
      <c r="K46" s="2">
        <v>124000</v>
      </c>
      <c r="M46" s="2">
        <v>3852372</v>
      </c>
      <c r="N46" s="2">
        <v>100000</v>
      </c>
      <c r="P46" s="2">
        <v>4343228</v>
      </c>
      <c r="Q46" s="2">
        <v>490000</v>
      </c>
      <c r="S46" s="2">
        <v>2552651</v>
      </c>
      <c r="T46" s="2">
        <v>729672</v>
      </c>
      <c r="Y46" s="2">
        <v>2552651</v>
      </c>
      <c r="Z46" s="2">
        <v>0</v>
      </c>
      <c r="AB46">
        <v>2552651</v>
      </c>
      <c r="AC46">
        <v>0</v>
      </c>
      <c r="AE46" s="2">
        <v>2293541</v>
      </c>
      <c r="AF46" s="2">
        <v>1000000</v>
      </c>
    </row>
    <row r="47" spans="1:32" s="2" customFormat="1" ht="30" customHeight="1" x14ac:dyDescent="0.25">
      <c r="A47" s="1">
        <v>2584331</v>
      </c>
      <c r="B47" s="2">
        <v>1474000</v>
      </c>
      <c r="G47" s="2">
        <v>3190180</v>
      </c>
      <c r="H47" s="2">
        <v>638446</v>
      </c>
      <c r="J47" s="2">
        <v>4358523</v>
      </c>
      <c r="K47" s="2">
        <v>20000</v>
      </c>
      <c r="M47" s="2">
        <v>3886672</v>
      </c>
      <c r="N47" s="2">
        <v>79000</v>
      </c>
      <c r="P47" s="2">
        <v>4353078</v>
      </c>
      <c r="Q47" s="2">
        <v>404000</v>
      </c>
      <c r="S47" s="2">
        <v>2572767</v>
      </c>
      <c r="T47" s="2">
        <v>9392233</v>
      </c>
      <c r="Y47" s="2">
        <v>2572767</v>
      </c>
      <c r="Z47" s="2">
        <v>0</v>
      </c>
      <c r="AB47" s="2">
        <v>2572767</v>
      </c>
      <c r="AC47" s="2">
        <v>0</v>
      </c>
      <c r="AE47" s="2">
        <v>3790182</v>
      </c>
      <c r="AF47" s="2">
        <v>400000</v>
      </c>
    </row>
    <row r="48" spans="1:32" s="2" customFormat="1" ht="30" customHeight="1" x14ac:dyDescent="0.25">
      <c r="A48" s="1">
        <v>2587147</v>
      </c>
      <c r="B48" s="2">
        <v>266000</v>
      </c>
      <c r="G48" s="2">
        <v>3368051</v>
      </c>
      <c r="H48" s="2">
        <v>150000</v>
      </c>
      <c r="J48" s="2">
        <v>4385424</v>
      </c>
      <c r="K48" s="2">
        <v>66000</v>
      </c>
      <c r="M48" s="2">
        <v>3910140</v>
      </c>
      <c r="N48" s="2">
        <v>45000</v>
      </c>
      <c r="P48" s="2">
        <v>4358523</v>
      </c>
      <c r="Q48" s="2">
        <v>55000</v>
      </c>
      <c r="S48" s="2">
        <v>2574699</v>
      </c>
      <c r="T48" s="2">
        <v>1110299</v>
      </c>
      <c r="Y48" s="2">
        <v>2574699</v>
      </c>
      <c r="Z48" s="2">
        <v>0</v>
      </c>
      <c r="AB48" s="2">
        <v>2574699</v>
      </c>
      <c r="AC48" s="2">
        <v>0</v>
      </c>
      <c r="AE48" s="2">
        <v>5312119</v>
      </c>
      <c r="AF48" s="2">
        <v>193844</v>
      </c>
    </row>
    <row r="49" spans="1:32" s="2" customFormat="1" ht="30" customHeight="1" x14ac:dyDescent="0.25">
      <c r="A49" s="1">
        <v>2632467</v>
      </c>
      <c r="B49" s="2">
        <v>5963000</v>
      </c>
      <c r="G49" s="2">
        <v>3428319</v>
      </c>
      <c r="H49" s="2">
        <v>100000</v>
      </c>
      <c r="J49" s="2">
        <v>4661168</v>
      </c>
      <c r="K49" s="2">
        <v>77000</v>
      </c>
      <c r="M49" s="2">
        <v>3949768</v>
      </c>
      <c r="N49" s="2">
        <v>55000</v>
      </c>
      <c r="P49" s="2">
        <v>4385424</v>
      </c>
      <c r="Q49" s="2">
        <v>130000</v>
      </c>
      <c r="S49" s="2">
        <v>2584331</v>
      </c>
      <c r="T49" s="2">
        <v>1410188</v>
      </c>
      <c r="Y49" s="2">
        <v>2584331</v>
      </c>
      <c r="Z49" s="2">
        <v>0</v>
      </c>
      <c r="AB49" s="2">
        <v>2584331</v>
      </c>
      <c r="AC49" s="2">
        <v>0</v>
      </c>
      <c r="AE49" s="2">
        <v>6907978</v>
      </c>
      <c r="AF49" s="2">
        <v>228213</v>
      </c>
    </row>
    <row r="50" spans="1:32" s="2" customFormat="1" ht="30" customHeight="1" x14ac:dyDescent="0.25">
      <c r="A50" s="1">
        <v>2700736</v>
      </c>
      <c r="B50" s="2">
        <v>1382000</v>
      </c>
      <c r="G50" s="2">
        <v>3438523</v>
      </c>
      <c r="H50" s="2">
        <v>2440000</v>
      </c>
      <c r="J50" s="2">
        <v>4756138</v>
      </c>
      <c r="K50" s="2">
        <v>34000</v>
      </c>
      <c r="M50" s="2">
        <v>3959325</v>
      </c>
      <c r="N50" s="2">
        <v>97000</v>
      </c>
      <c r="P50" s="2">
        <v>4661168</v>
      </c>
      <c r="Q50" s="2">
        <v>253000</v>
      </c>
      <c r="S50" s="2">
        <v>2587147</v>
      </c>
      <c r="T50" s="2">
        <v>309865</v>
      </c>
      <c r="Y50" s="2">
        <v>2587147</v>
      </c>
      <c r="Z50" s="2">
        <v>0</v>
      </c>
      <c r="AB50" s="2">
        <v>2587147</v>
      </c>
      <c r="AC50" s="2">
        <v>0</v>
      </c>
      <c r="AE50" s="2">
        <v>4297455</v>
      </c>
      <c r="AF50" s="2">
        <v>200000</v>
      </c>
    </row>
    <row r="51" spans="1:32" s="2" customFormat="1" ht="30" customHeight="1" x14ac:dyDescent="0.25">
      <c r="A51" s="3">
        <v>2718583</v>
      </c>
      <c r="B51" s="2">
        <v>1272000</v>
      </c>
      <c r="G51" s="2">
        <v>3555154</v>
      </c>
      <c r="H51" s="2">
        <v>249185</v>
      </c>
      <c r="J51" s="2">
        <v>4823957</v>
      </c>
      <c r="K51" s="2">
        <v>193000</v>
      </c>
      <c r="M51" s="2">
        <v>3988103</v>
      </c>
      <c r="N51" s="2">
        <v>156000</v>
      </c>
      <c r="P51" s="2">
        <v>4756138</v>
      </c>
      <c r="Q51" s="2">
        <v>91000</v>
      </c>
      <c r="S51" s="2">
        <v>2632467</v>
      </c>
      <c r="T51" s="2">
        <v>3733292</v>
      </c>
      <c r="Y51" s="2">
        <v>2632467</v>
      </c>
      <c r="Z51" s="2">
        <v>1289150</v>
      </c>
      <c r="AB51" s="2">
        <v>2632467</v>
      </c>
      <c r="AC51" s="2">
        <v>0</v>
      </c>
      <c r="AE51" s="2">
        <v>2718583</v>
      </c>
      <c r="AF51" s="2">
        <v>400000</v>
      </c>
    </row>
    <row r="52" spans="1:32" s="2" customFormat="1" ht="30" customHeight="1" x14ac:dyDescent="0.25">
      <c r="A52" s="1">
        <v>2838544</v>
      </c>
      <c r="B52" s="2">
        <v>830000</v>
      </c>
      <c r="G52" s="2">
        <v>3625295</v>
      </c>
      <c r="H52" s="2">
        <v>1802210</v>
      </c>
      <c r="J52" s="2">
        <v>4853448</v>
      </c>
      <c r="K52" s="2">
        <v>179000</v>
      </c>
      <c r="M52" s="2">
        <v>4234054</v>
      </c>
      <c r="N52" s="2">
        <v>290000</v>
      </c>
      <c r="P52" s="2">
        <v>4823957</v>
      </c>
      <c r="Q52" s="2">
        <v>490000</v>
      </c>
      <c r="S52" s="2">
        <v>2700736</v>
      </c>
      <c r="T52" s="2">
        <v>1780592</v>
      </c>
      <c r="Y52" s="2">
        <v>2700736</v>
      </c>
      <c r="Z52" s="2">
        <v>0</v>
      </c>
      <c r="AB52" s="2">
        <v>2700736</v>
      </c>
      <c r="AC52" s="2">
        <v>0</v>
      </c>
      <c r="AE52" s="2">
        <v>3166608</v>
      </c>
      <c r="AF52" s="2">
        <v>1456830</v>
      </c>
    </row>
    <row r="53" spans="1:32" s="2" customFormat="1" ht="30" customHeight="1" x14ac:dyDescent="0.25">
      <c r="A53" s="1">
        <v>2854766</v>
      </c>
      <c r="B53" s="2">
        <v>294000</v>
      </c>
      <c r="G53" s="2">
        <v>3632154</v>
      </c>
      <c r="H53" s="2">
        <v>152495</v>
      </c>
      <c r="J53" s="2">
        <v>4873800</v>
      </c>
      <c r="K53" s="2">
        <v>180000</v>
      </c>
      <c r="M53" s="2">
        <v>4493554</v>
      </c>
      <c r="N53" s="2">
        <v>33000</v>
      </c>
      <c r="P53" s="2">
        <v>4853448</v>
      </c>
      <c r="Q53" s="2">
        <v>484000</v>
      </c>
      <c r="S53" s="2">
        <v>2718583</v>
      </c>
      <c r="T53" s="2">
        <v>1437838</v>
      </c>
      <c r="Y53" s="2">
        <v>2718583</v>
      </c>
      <c r="Z53" s="2">
        <v>0</v>
      </c>
      <c r="AB53" s="2">
        <v>2718583</v>
      </c>
      <c r="AC53" s="2">
        <v>0</v>
      </c>
      <c r="AE53" s="2">
        <v>5793673</v>
      </c>
      <c r="AF53" s="2">
        <v>450000</v>
      </c>
    </row>
    <row r="54" spans="1:32" s="2" customFormat="1" ht="30" customHeight="1" x14ac:dyDescent="0.25">
      <c r="A54" s="1">
        <v>2925974</v>
      </c>
      <c r="B54" s="2">
        <v>3395000</v>
      </c>
      <c r="G54" s="2">
        <v>3732526</v>
      </c>
      <c r="H54" s="2">
        <v>1641397</v>
      </c>
      <c r="J54" s="2">
        <v>5063729</v>
      </c>
      <c r="K54" s="2">
        <v>26000</v>
      </c>
      <c r="M54" s="2">
        <v>4501907</v>
      </c>
      <c r="N54" s="2">
        <v>4000</v>
      </c>
      <c r="P54" s="2">
        <v>4873800</v>
      </c>
      <c r="Q54" s="2">
        <v>490000</v>
      </c>
      <c r="S54" s="2">
        <v>2838544</v>
      </c>
      <c r="T54" s="2">
        <v>779597</v>
      </c>
      <c r="Y54" s="2">
        <v>2838544</v>
      </c>
      <c r="Z54" s="2">
        <v>0</v>
      </c>
      <c r="AB54" s="2">
        <v>2838544</v>
      </c>
      <c r="AC54" s="2">
        <v>0</v>
      </c>
      <c r="AE54" s="2">
        <v>7044506</v>
      </c>
      <c r="AF54" s="2">
        <v>2038611</v>
      </c>
    </row>
    <row r="55" spans="1:32" s="2" customFormat="1" ht="30" customHeight="1" x14ac:dyDescent="0.25">
      <c r="A55" s="1">
        <v>2928724</v>
      </c>
      <c r="B55" s="2">
        <v>1723000</v>
      </c>
      <c r="G55" s="2">
        <v>3775974</v>
      </c>
      <c r="H55" s="2">
        <v>192280</v>
      </c>
      <c r="J55" s="2">
        <v>5070480</v>
      </c>
      <c r="K55" s="2">
        <v>6000</v>
      </c>
      <c r="M55" s="2">
        <v>4823957</v>
      </c>
      <c r="N55" s="2">
        <v>76000</v>
      </c>
      <c r="P55" s="2">
        <v>5063729</v>
      </c>
      <c r="Q55" s="2">
        <v>70000</v>
      </c>
      <c r="S55" s="2">
        <v>2854766</v>
      </c>
      <c r="T55" s="2">
        <v>271500</v>
      </c>
      <c r="Y55" s="2">
        <v>2854766</v>
      </c>
      <c r="Z55" s="2">
        <v>0</v>
      </c>
      <c r="AB55" s="2">
        <v>2854766</v>
      </c>
      <c r="AC55" s="2">
        <v>0</v>
      </c>
      <c r="AE55" s="2">
        <v>5231429</v>
      </c>
      <c r="AF55" s="2">
        <v>900000</v>
      </c>
    </row>
    <row r="56" spans="1:32" s="2" customFormat="1" ht="30" customHeight="1" x14ac:dyDescent="0.25">
      <c r="A56" s="1">
        <v>2930990</v>
      </c>
      <c r="B56" s="2">
        <v>2228000</v>
      </c>
      <c r="G56" s="2">
        <v>3801846</v>
      </c>
      <c r="H56" s="2">
        <v>246240</v>
      </c>
      <c r="J56" s="2">
        <v>5227172</v>
      </c>
      <c r="K56" s="2">
        <v>290000</v>
      </c>
      <c r="M56" s="2">
        <v>4873800</v>
      </c>
      <c r="N56" s="2">
        <v>76000</v>
      </c>
      <c r="P56" s="2">
        <v>5227172</v>
      </c>
      <c r="Q56" s="2">
        <v>490000</v>
      </c>
      <c r="S56" s="2">
        <v>2925974</v>
      </c>
      <c r="T56" s="2">
        <v>3278487</v>
      </c>
      <c r="Y56" s="2">
        <v>2925974</v>
      </c>
      <c r="Z56" s="2">
        <v>0</v>
      </c>
      <c r="AB56" s="2">
        <v>2925974</v>
      </c>
      <c r="AC56" s="2">
        <v>0</v>
      </c>
      <c r="AE56" s="2">
        <v>3148048</v>
      </c>
      <c r="AF56" s="2">
        <v>400000</v>
      </c>
    </row>
    <row r="57" spans="1:32" s="2" customFormat="1" ht="30" customHeight="1" x14ac:dyDescent="0.25">
      <c r="A57" s="1">
        <v>2954592</v>
      </c>
      <c r="B57" s="2">
        <v>1110000</v>
      </c>
      <c r="G57" s="2">
        <v>3822869</v>
      </c>
      <c r="H57" s="2">
        <v>50000</v>
      </c>
      <c r="J57" s="2">
        <v>5231429</v>
      </c>
      <c r="K57" s="2">
        <v>227000</v>
      </c>
      <c r="M57" s="2">
        <v>5063729</v>
      </c>
      <c r="N57" s="2">
        <v>11000</v>
      </c>
      <c r="P57" s="2">
        <v>5231429</v>
      </c>
      <c r="Q57" s="2">
        <v>490000</v>
      </c>
      <c r="S57" s="2">
        <v>2928724</v>
      </c>
      <c r="T57" s="2">
        <v>1689767</v>
      </c>
      <c r="Y57" s="2">
        <v>2928724</v>
      </c>
      <c r="Z57" s="2">
        <v>0</v>
      </c>
      <c r="AB57" s="2">
        <v>2928724</v>
      </c>
      <c r="AC57" s="2">
        <v>0</v>
      </c>
      <c r="AE57" s="2">
        <v>3428319</v>
      </c>
      <c r="AF57" s="2">
        <v>600000</v>
      </c>
    </row>
    <row r="58" spans="1:32" s="2" customFormat="1" ht="30" customHeight="1" x14ac:dyDescent="0.25">
      <c r="A58" s="1">
        <v>3001174</v>
      </c>
      <c r="B58" s="2">
        <v>5654000</v>
      </c>
      <c r="G58" s="2">
        <v>3852372</v>
      </c>
      <c r="H58" s="2">
        <v>804969</v>
      </c>
      <c r="J58" s="2">
        <v>5235056</v>
      </c>
      <c r="K58" s="2">
        <v>53000</v>
      </c>
      <c r="M58" s="2">
        <v>5227172</v>
      </c>
      <c r="N58" s="2">
        <v>149000</v>
      </c>
      <c r="P58" s="2">
        <v>5235056</v>
      </c>
      <c r="Q58" s="2">
        <v>174000</v>
      </c>
      <c r="S58" s="2">
        <v>2930990</v>
      </c>
      <c r="T58" s="2">
        <v>2073805</v>
      </c>
      <c r="Y58" s="2">
        <v>2930990</v>
      </c>
      <c r="Z58" s="2">
        <v>0</v>
      </c>
      <c r="AB58" s="2">
        <v>2930990</v>
      </c>
      <c r="AC58" s="2">
        <v>0</v>
      </c>
      <c r="AE58" s="2">
        <v>5741111</v>
      </c>
      <c r="AF58" s="2">
        <v>600000</v>
      </c>
    </row>
    <row r="59" spans="1:32" s="2" customFormat="1" ht="30" customHeight="1" x14ac:dyDescent="0.25">
      <c r="A59" s="1">
        <v>3005927</v>
      </c>
      <c r="B59" s="2">
        <v>338000</v>
      </c>
      <c r="G59" s="2">
        <v>3910140</v>
      </c>
      <c r="H59" s="2">
        <v>493958</v>
      </c>
      <c r="J59" s="2">
        <v>5362299</v>
      </c>
      <c r="K59" s="2">
        <v>36000</v>
      </c>
      <c r="M59" s="2">
        <v>5231429</v>
      </c>
      <c r="N59" s="2">
        <v>95000</v>
      </c>
      <c r="P59" s="2">
        <v>5293571</v>
      </c>
      <c r="Q59" s="2">
        <v>220000</v>
      </c>
      <c r="S59" s="2">
        <v>2954592</v>
      </c>
      <c r="T59" s="2">
        <v>1055567</v>
      </c>
      <c r="Y59">
        <v>2954592</v>
      </c>
      <c r="Z59">
        <v>0</v>
      </c>
      <c r="AB59" s="2">
        <v>2954592</v>
      </c>
      <c r="AC59" s="2">
        <v>0</v>
      </c>
      <c r="AE59" s="2">
        <v>7080749</v>
      </c>
      <c r="AF59" s="2">
        <v>450000</v>
      </c>
    </row>
    <row r="60" spans="1:32" s="2" customFormat="1" ht="30" customHeight="1" x14ac:dyDescent="0.25">
      <c r="A60" s="1">
        <v>3055579</v>
      </c>
      <c r="B60" s="2">
        <v>14960000</v>
      </c>
      <c r="G60" s="2">
        <v>3949768</v>
      </c>
      <c r="H60" s="2">
        <v>169130</v>
      </c>
      <c r="J60" s="2">
        <v>5563434</v>
      </c>
      <c r="K60" s="2">
        <v>104000</v>
      </c>
      <c r="M60" s="2">
        <v>5235056</v>
      </c>
      <c r="N60" s="2">
        <v>27000</v>
      </c>
      <c r="P60" s="2">
        <v>5362299</v>
      </c>
      <c r="Q60" s="2">
        <v>99000</v>
      </c>
      <c r="S60" s="2">
        <v>3001174</v>
      </c>
      <c r="T60" s="2">
        <v>7680761</v>
      </c>
      <c r="Y60" s="2">
        <v>3001174</v>
      </c>
      <c r="Z60" s="2">
        <v>0</v>
      </c>
      <c r="AB60" s="2">
        <v>3001174</v>
      </c>
      <c r="AC60" s="2">
        <v>0</v>
      </c>
      <c r="AE60" s="2">
        <v>8492814</v>
      </c>
      <c r="AF60" s="2">
        <v>350000</v>
      </c>
    </row>
    <row r="61" spans="1:32" s="2" customFormat="1" ht="30" customHeight="1" x14ac:dyDescent="0.25">
      <c r="A61" s="1">
        <v>3069495</v>
      </c>
      <c r="B61" s="2">
        <v>2683000</v>
      </c>
      <c r="G61" s="2">
        <v>3959325</v>
      </c>
      <c r="H61" s="2">
        <v>984960</v>
      </c>
      <c r="J61" s="2">
        <v>5713240</v>
      </c>
      <c r="K61" s="2">
        <v>130000</v>
      </c>
      <c r="M61" s="2">
        <v>5293571</v>
      </c>
      <c r="N61" s="2">
        <v>59000</v>
      </c>
      <c r="P61" s="2">
        <v>5391602</v>
      </c>
      <c r="Q61" s="2">
        <v>490000</v>
      </c>
      <c r="S61" s="2">
        <v>3005927</v>
      </c>
      <c r="T61" s="2">
        <v>353315</v>
      </c>
      <c r="Y61" s="2">
        <v>3005927</v>
      </c>
      <c r="Z61" s="2">
        <v>0</v>
      </c>
      <c r="AB61" s="2">
        <v>3005927</v>
      </c>
      <c r="AC61" s="2">
        <v>0</v>
      </c>
      <c r="AE61" s="2">
        <v>3632154</v>
      </c>
      <c r="AF61" s="2">
        <v>400000</v>
      </c>
    </row>
    <row r="62" spans="1:32" s="2" customFormat="1" ht="30" customHeight="1" x14ac:dyDescent="0.25">
      <c r="A62" s="1">
        <v>3139161</v>
      </c>
      <c r="B62" s="2">
        <v>10110000</v>
      </c>
      <c r="G62" s="2">
        <v>3988103</v>
      </c>
      <c r="H62" s="2">
        <v>371532</v>
      </c>
      <c r="J62" s="2">
        <v>5741111</v>
      </c>
      <c r="K62" s="2">
        <v>160000</v>
      </c>
      <c r="M62" s="2">
        <v>5362299</v>
      </c>
      <c r="N62" s="2">
        <v>15000</v>
      </c>
      <c r="P62" s="2">
        <v>5563434</v>
      </c>
      <c r="Q62" s="2">
        <v>337000</v>
      </c>
      <c r="S62" s="2">
        <v>3055579</v>
      </c>
      <c r="T62" s="2">
        <v>17250989</v>
      </c>
      <c r="Y62" s="2">
        <v>3055579</v>
      </c>
      <c r="Z62" s="2">
        <v>0</v>
      </c>
      <c r="AB62" s="2">
        <v>3055579</v>
      </c>
      <c r="AC62" s="2">
        <v>0</v>
      </c>
      <c r="AE62" s="2">
        <v>4418892</v>
      </c>
      <c r="AF62" s="2">
        <v>1259987</v>
      </c>
    </row>
    <row r="63" spans="1:32" s="2" customFormat="1" ht="30" customHeight="1" x14ac:dyDescent="0.25">
      <c r="A63" s="1">
        <v>3145588</v>
      </c>
      <c r="B63" s="2">
        <v>754000</v>
      </c>
      <c r="G63" s="2">
        <v>4094333</v>
      </c>
      <c r="H63" s="2">
        <v>750000</v>
      </c>
      <c r="J63" s="2">
        <v>5918012</v>
      </c>
      <c r="K63" s="2">
        <v>97000</v>
      </c>
      <c r="M63" s="2">
        <v>5713240</v>
      </c>
      <c r="N63" s="2">
        <v>54000</v>
      </c>
      <c r="P63" s="2">
        <v>5713240</v>
      </c>
      <c r="Q63" s="2">
        <v>348000</v>
      </c>
      <c r="S63" s="2">
        <v>3069495</v>
      </c>
      <c r="T63" s="2">
        <v>2645254</v>
      </c>
      <c r="Y63" s="2">
        <v>3069495</v>
      </c>
      <c r="Z63" s="2">
        <v>0</v>
      </c>
      <c r="AB63">
        <v>3069495</v>
      </c>
      <c r="AC63">
        <v>0</v>
      </c>
      <c r="AE63" s="2">
        <v>4890597</v>
      </c>
      <c r="AF63" s="2">
        <v>193844</v>
      </c>
    </row>
    <row r="64" spans="1:32" s="2" customFormat="1" ht="30" customHeight="1" x14ac:dyDescent="0.25">
      <c r="A64" s="1">
        <v>3146268</v>
      </c>
      <c r="B64" s="2">
        <v>1691000</v>
      </c>
      <c r="G64" s="2">
        <v>4234054</v>
      </c>
      <c r="H64" s="2">
        <v>650644</v>
      </c>
      <c r="J64" s="2">
        <v>5968921</v>
      </c>
      <c r="K64" s="2">
        <v>43000</v>
      </c>
      <c r="M64" s="2">
        <v>5741111</v>
      </c>
      <c r="N64" s="2">
        <v>67000</v>
      </c>
      <c r="P64" s="2">
        <v>5741111</v>
      </c>
      <c r="Q64" s="2">
        <v>490000</v>
      </c>
      <c r="S64" s="2">
        <v>3139161</v>
      </c>
      <c r="T64" s="2">
        <v>10813513</v>
      </c>
      <c r="Y64" s="2">
        <v>3139161</v>
      </c>
      <c r="Z64" s="2">
        <v>3823884.4</v>
      </c>
      <c r="AB64" s="2">
        <v>3139161</v>
      </c>
      <c r="AC64" s="2">
        <v>0</v>
      </c>
      <c r="AE64" s="2">
        <v>1347706</v>
      </c>
      <c r="AF64" s="2">
        <v>872299</v>
      </c>
    </row>
    <row r="65" spans="1:32" s="2" customFormat="1" ht="30" customHeight="1" x14ac:dyDescent="0.25">
      <c r="A65" s="1">
        <v>3148048</v>
      </c>
      <c r="B65" s="2">
        <v>1146000</v>
      </c>
      <c r="G65" s="2">
        <v>4337287</v>
      </c>
      <c r="H65" s="2">
        <v>132000</v>
      </c>
      <c r="J65" s="2">
        <v>6224406</v>
      </c>
      <c r="K65" s="2">
        <v>128000</v>
      </c>
      <c r="M65" s="2">
        <v>5792926</v>
      </c>
      <c r="N65" s="2">
        <v>18000</v>
      </c>
      <c r="P65" s="2">
        <v>5793673</v>
      </c>
      <c r="Q65" s="2">
        <v>290000</v>
      </c>
      <c r="S65" s="2">
        <v>3145588</v>
      </c>
      <c r="T65" s="2">
        <v>755787</v>
      </c>
      <c r="Y65" s="2">
        <v>3145588</v>
      </c>
      <c r="Z65" s="2">
        <v>805111.99</v>
      </c>
      <c r="AB65" s="2">
        <v>3145588</v>
      </c>
      <c r="AC65" s="2">
        <v>0</v>
      </c>
      <c r="AE65" s="2">
        <v>9653966</v>
      </c>
      <c r="AF65" s="2">
        <v>750000</v>
      </c>
    </row>
    <row r="66" spans="1:32" s="2" customFormat="1" ht="30" customHeight="1" x14ac:dyDescent="0.25">
      <c r="A66" s="1">
        <v>3152221</v>
      </c>
      <c r="B66" s="2">
        <v>18408000</v>
      </c>
      <c r="G66" s="2">
        <v>4343228</v>
      </c>
      <c r="H66" s="2">
        <v>369000</v>
      </c>
      <c r="J66" s="2">
        <v>6265472</v>
      </c>
      <c r="K66" s="2">
        <v>104000</v>
      </c>
      <c r="M66" s="2">
        <v>5918012</v>
      </c>
      <c r="N66" s="2">
        <v>41000</v>
      </c>
      <c r="P66" s="2">
        <v>5918012</v>
      </c>
      <c r="Q66" s="2">
        <v>264000</v>
      </c>
      <c r="S66" s="2">
        <v>3146268</v>
      </c>
      <c r="T66" s="2">
        <v>1606047</v>
      </c>
      <c r="Y66" s="2">
        <v>3146268</v>
      </c>
      <c r="Z66" s="2">
        <v>0</v>
      </c>
      <c r="AB66" s="2">
        <v>3146268</v>
      </c>
      <c r="AC66" s="2">
        <v>0</v>
      </c>
      <c r="AE66" s="2">
        <v>3001174</v>
      </c>
      <c r="AF66" s="2">
        <v>484607</v>
      </c>
    </row>
    <row r="67" spans="1:32" s="2" customFormat="1" ht="30" customHeight="1" x14ac:dyDescent="0.25">
      <c r="A67" s="1">
        <v>3166608</v>
      </c>
      <c r="B67" s="2">
        <v>5282000</v>
      </c>
      <c r="G67" s="2">
        <v>4353078</v>
      </c>
      <c r="H67" s="2">
        <v>0</v>
      </c>
      <c r="J67" s="2">
        <v>6374958</v>
      </c>
      <c r="K67" s="2">
        <v>43000</v>
      </c>
      <c r="M67" s="2">
        <v>5968921</v>
      </c>
      <c r="N67" s="2">
        <v>18000</v>
      </c>
      <c r="P67" s="2">
        <v>5968921</v>
      </c>
      <c r="Q67" s="2">
        <v>116000</v>
      </c>
      <c r="S67" s="2">
        <v>3148048</v>
      </c>
      <c r="T67" s="2">
        <v>1410188</v>
      </c>
      <c r="Y67" s="2">
        <v>3148048</v>
      </c>
      <c r="Z67" s="2">
        <v>0</v>
      </c>
      <c r="AB67" s="2">
        <v>3148048</v>
      </c>
      <c r="AC67" s="2">
        <v>0</v>
      </c>
      <c r="AE67" s="2">
        <v>3555154</v>
      </c>
      <c r="AF67" s="2">
        <v>200000</v>
      </c>
    </row>
    <row r="68" spans="1:32" s="2" customFormat="1" ht="30" customHeight="1" x14ac:dyDescent="0.25">
      <c r="A68" s="1">
        <v>3190180</v>
      </c>
      <c r="B68" s="2">
        <v>3051000</v>
      </c>
      <c r="G68" s="2">
        <v>4493554</v>
      </c>
      <c r="H68" s="2">
        <v>55453</v>
      </c>
      <c r="J68" s="2">
        <v>6552817</v>
      </c>
      <c r="K68" s="2">
        <v>76000</v>
      </c>
      <c r="M68" s="2">
        <v>6224406</v>
      </c>
      <c r="N68" s="2">
        <v>54000</v>
      </c>
      <c r="P68" s="2">
        <v>6224406</v>
      </c>
      <c r="Q68" s="2">
        <v>348000</v>
      </c>
      <c r="S68" s="2">
        <v>3152221</v>
      </c>
      <c r="T68" s="2">
        <v>12963590</v>
      </c>
      <c r="Y68" s="2">
        <v>3152221</v>
      </c>
      <c r="Z68" s="2">
        <v>4092662</v>
      </c>
      <c r="AB68" s="2">
        <v>3152221</v>
      </c>
      <c r="AC68" s="2">
        <v>0</v>
      </c>
      <c r="AE68" s="2">
        <v>3139161</v>
      </c>
      <c r="AF68" s="2">
        <v>581533</v>
      </c>
    </row>
    <row r="69" spans="1:32" s="2" customFormat="1" ht="30" customHeight="1" x14ac:dyDescent="0.25">
      <c r="A69" s="1">
        <v>3368051</v>
      </c>
      <c r="B69" s="2">
        <v>892000</v>
      </c>
      <c r="G69" s="2">
        <v>4501907</v>
      </c>
      <c r="H69" s="2">
        <v>150000</v>
      </c>
      <c r="J69" s="2">
        <v>6650186</v>
      </c>
      <c r="K69" s="2">
        <v>77000</v>
      </c>
      <c r="M69" s="2">
        <v>6374958</v>
      </c>
      <c r="N69" s="2">
        <v>18000</v>
      </c>
      <c r="P69" s="2">
        <v>6265472</v>
      </c>
      <c r="Q69" s="2">
        <v>337000</v>
      </c>
      <c r="S69" s="2">
        <v>3166608</v>
      </c>
      <c r="T69" s="2">
        <v>4824670</v>
      </c>
      <c r="Y69" s="2">
        <v>3166608</v>
      </c>
      <c r="Z69" s="2">
        <v>0</v>
      </c>
      <c r="AB69" s="2">
        <v>3166608</v>
      </c>
      <c r="AC69" s="2">
        <v>0</v>
      </c>
      <c r="AE69" s="2">
        <v>8588423</v>
      </c>
      <c r="AF69" s="2">
        <v>581533</v>
      </c>
    </row>
    <row r="70" spans="1:32" s="2" customFormat="1" ht="30" customHeight="1" x14ac:dyDescent="0.25">
      <c r="A70" s="1">
        <v>3415850</v>
      </c>
      <c r="B70" s="2">
        <v>696000</v>
      </c>
      <c r="G70" s="2">
        <v>4530859</v>
      </c>
      <c r="H70" s="2">
        <v>196488</v>
      </c>
      <c r="J70" s="2">
        <v>6719009</v>
      </c>
      <c r="K70" s="2">
        <v>64000</v>
      </c>
      <c r="M70" s="2">
        <v>6552817</v>
      </c>
      <c r="N70" s="2">
        <v>32000</v>
      </c>
      <c r="P70" s="2">
        <v>6374958</v>
      </c>
      <c r="Q70" s="2">
        <v>116000</v>
      </c>
      <c r="S70" s="2">
        <v>3190180</v>
      </c>
      <c r="T70" s="2">
        <v>2427514</v>
      </c>
      <c r="Y70" s="2">
        <v>3190180</v>
      </c>
      <c r="Z70" s="2">
        <v>1053198.01</v>
      </c>
      <c r="AB70" s="2">
        <v>3190180</v>
      </c>
      <c r="AC70" s="2">
        <v>0</v>
      </c>
      <c r="AE70" s="2">
        <v>4654168</v>
      </c>
      <c r="AF70" s="2">
        <v>290766</v>
      </c>
    </row>
    <row r="71" spans="1:32" s="2" customFormat="1" ht="30" customHeight="1" x14ac:dyDescent="0.25">
      <c r="A71" s="1">
        <v>3428319</v>
      </c>
      <c r="B71" s="2">
        <v>2147000</v>
      </c>
      <c r="G71" s="2">
        <v>4630845</v>
      </c>
      <c r="H71" s="2">
        <v>660000</v>
      </c>
      <c r="J71" s="2">
        <v>6806376</v>
      </c>
      <c r="K71" s="2">
        <v>36000</v>
      </c>
      <c r="M71" s="2">
        <v>6650186</v>
      </c>
      <c r="N71" s="2">
        <v>27000</v>
      </c>
      <c r="P71" s="2">
        <v>6552817</v>
      </c>
      <c r="Q71" s="2">
        <v>307000</v>
      </c>
      <c r="S71" s="2">
        <v>3368051</v>
      </c>
      <c r="T71" s="2">
        <v>1290368</v>
      </c>
      <c r="Y71" s="2">
        <v>3364695</v>
      </c>
      <c r="Z71" s="2">
        <v>0</v>
      </c>
      <c r="AB71" s="6">
        <v>3364695</v>
      </c>
      <c r="AC71" s="6">
        <v>0</v>
      </c>
      <c r="AE71" s="2">
        <v>9139875</v>
      </c>
      <c r="AF71" s="2">
        <v>484611</v>
      </c>
    </row>
    <row r="72" spans="1:32" s="2" customFormat="1" ht="30" customHeight="1" x14ac:dyDescent="0.25">
      <c r="A72" s="1">
        <v>3438523</v>
      </c>
      <c r="B72" s="2">
        <v>24407000</v>
      </c>
      <c r="G72" s="2">
        <v>4661168</v>
      </c>
      <c r="H72" s="2">
        <v>0</v>
      </c>
      <c r="J72" s="2">
        <v>6877163</v>
      </c>
      <c r="K72" s="2">
        <v>51000</v>
      </c>
      <c r="M72" s="2">
        <v>6719009</v>
      </c>
      <c r="N72" s="2">
        <v>27000</v>
      </c>
      <c r="P72" s="2">
        <v>6650186</v>
      </c>
      <c r="Q72" s="2">
        <v>253000</v>
      </c>
      <c r="S72" s="2">
        <v>3415850</v>
      </c>
      <c r="T72" s="2">
        <v>619129</v>
      </c>
      <c r="Y72">
        <v>3368051</v>
      </c>
      <c r="Z72">
        <v>0</v>
      </c>
      <c r="AB72" s="2">
        <v>3368051</v>
      </c>
      <c r="AC72" s="2">
        <v>0</v>
      </c>
      <c r="AE72" s="2">
        <v>9266427</v>
      </c>
      <c r="AF72" s="2">
        <v>193844</v>
      </c>
    </row>
    <row r="73" spans="1:32" s="2" customFormat="1" ht="30" customHeight="1" x14ac:dyDescent="0.25">
      <c r="A73" s="1">
        <v>3555154</v>
      </c>
      <c r="B73" s="2">
        <v>846000</v>
      </c>
      <c r="G73" s="2">
        <v>4756138</v>
      </c>
      <c r="H73" s="2">
        <v>187543</v>
      </c>
      <c r="J73" s="2">
        <v>6940940</v>
      </c>
      <c r="K73" s="2">
        <v>202000</v>
      </c>
      <c r="M73" s="2">
        <v>6722018</v>
      </c>
      <c r="N73" s="2">
        <v>290000</v>
      </c>
      <c r="P73" s="2">
        <v>6719009</v>
      </c>
      <c r="Q73" s="2">
        <v>348000</v>
      </c>
      <c r="S73" s="2">
        <v>3428319</v>
      </c>
      <c r="T73" s="2">
        <v>2073805</v>
      </c>
      <c r="Y73" s="2">
        <v>3415850</v>
      </c>
      <c r="Z73" s="2">
        <v>0</v>
      </c>
      <c r="AB73">
        <v>3415850</v>
      </c>
      <c r="AC73">
        <v>0</v>
      </c>
      <c r="AE73" s="2">
        <v>9450071</v>
      </c>
      <c r="AF73" s="2">
        <v>775377</v>
      </c>
    </row>
    <row r="74" spans="1:32" s="2" customFormat="1" ht="30" customHeight="1" x14ac:dyDescent="0.25">
      <c r="A74" s="3">
        <v>3596108</v>
      </c>
      <c r="B74" s="2">
        <v>4484000</v>
      </c>
      <c r="G74" s="2">
        <v>4823957</v>
      </c>
      <c r="H74" s="2">
        <v>656640</v>
      </c>
      <c r="J74" s="2">
        <v>7080749</v>
      </c>
      <c r="K74" s="2">
        <v>86000</v>
      </c>
      <c r="M74" s="2">
        <v>6732891</v>
      </c>
      <c r="N74" s="2">
        <v>57000</v>
      </c>
      <c r="P74" s="2">
        <v>6790491</v>
      </c>
      <c r="Q74" s="2">
        <v>232000</v>
      </c>
      <c r="S74" s="2">
        <v>3438523</v>
      </c>
      <c r="T74" s="2">
        <v>23383309</v>
      </c>
      <c r="Y74" s="2">
        <v>3428319</v>
      </c>
      <c r="Z74" s="2">
        <v>0</v>
      </c>
      <c r="AB74" s="2">
        <v>3428319</v>
      </c>
      <c r="AC74" s="2">
        <v>0</v>
      </c>
      <c r="AE74" s="2">
        <v>2522751</v>
      </c>
      <c r="AF74" s="2">
        <v>1938442</v>
      </c>
    </row>
    <row r="75" spans="1:32" s="2" customFormat="1" ht="30" customHeight="1" x14ac:dyDescent="0.25">
      <c r="A75" s="1">
        <v>3625295</v>
      </c>
      <c r="B75" s="2">
        <v>8517000</v>
      </c>
      <c r="G75" s="2">
        <v>4873800</v>
      </c>
      <c r="H75" s="2">
        <v>649714</v>
      </c>
      <c r="J75" s="2">
        <v>7135154</v>
      </c>
      <c r="K75" s="2">
        <v>188000</v>
      </c>
      <c r="M75" s="2">
        <v>6769479</v>
      </c>
      <c r="N75" s="2">
        <v>36000</v>
      </c>
      <c r="P75" s="2">
        <v>6806376</v>
      </c>
      <c r="Q75" s="2">
        <v>99000</v>
      </c>
      <c r="S75" s="2">
        <v>3555154</v>
      </c>
      <c r="T75" s="2">
        <v>903350</v>
      </c>
      <c r="Y75" s="2">
        <v>3438523</v>
      </c>
      <c r="Z75" s="2">
        <v>9275200</v>
      </c>
      <c r="AB75" s="2">
        <v>3438523</v>
      </c>
      <c r="AC75" s="2">
        <v>0</v>
      </c>
      <c r="AE75" s="2">
        <v>8760544</v>
      </c>
      <c r="AF75" s="2">
        <v>193844</v>
      </c>
    </row>
    <row r="76" spans="1:32" s="2" customFormat="1" ht="30" customHeight="1" x14ac:dyDescent="0.25">
      <c r="A76" s="1">
        <v>3632154</v>
      </c>
      <c r="B76" s="2">
        <v>1835000</v>
      </c>
      <c r="G76" s="2">
        <v>5063729</v>
      </c>
      <c r="H76" s="2">
        <v>115368</v>
      </c>
      <c r="J76" s="2">
        <v>7356784</v>
      </c>
      <c r="K76" s="2">
        <v>64000</v>
      </c>
      <c r="M76" s="2">
        <v>6790491</v>
      </c>
      <c r="N76" s="2">
        <v>27000</v>
      </c>
      <c r="P76" s="2">
        <v>6940940</v>
      </c>
      <c r="Q76" s="2">
        <v>490000</v>
      </c>
      <c r="S76" s="2">
        <v>3596108</v>
      </c>
      <c r="T76" s="2">
        <v>4116273</v>
      </c>
      <c r="Y76" s="2">
        <v>3555154</v>
      </c>
      <c r="Z76" s="2">
        <v>0</v>
      </c>
      <c r="AB76">
        <v>3555154</v>
      </c>
      <c r="AC76">
        <v>0</v>
      </c>
      <c r="AE76" s="2">
        <v>9835515</v>
      </c>
      <c r="AF76" s="2">
        <v>1066143</v>
      </c>
    </row>
    <row r="77" spans="1:32" s="2" customFormat="1" ht="30" customHeight="1" x14ac:dyDescent="0.25">
      <c r="A77" s="1">
        <v>3661910</v>
      </c>
      <c r="B77" s="2">
        <v>931000</v>
      </c>
      <c r="G77" s="2">
        <v>5091362</v>
      </c>
      <c r="H77" s="2">
        <v>116700</v>
      </c>
      <c r="J77" s="2">
        <v>7455227</v>
      </c>
      <c r="K77" s="2">
        <v>11000</v>
      </c>
      <c r="M77" s="2">
        <v>6806376</v>
      </c>
      <c r="N77" s="2">
        <v>15000</v>
      </c>
      <c r="P77" s="2">
        <v>7044506</v>
      </c>
      <c r="Q77" s="2">
        <v>490000</v>
      </c>
      <c r="S77" s="2">
        <v>3625295</v>
      </c>
      <c r="T77" s="2">
        <v>10791469</v>
      </c>
      <c r="Y77" s="2">
        <v>3596108</v>
      </c>
      <c r="Z77" s="2">
        <v>0</v>
      </c>
      <c r="AB77" s="2">
        <v>3596108</v>
      </c>
      <c r="AC77" s="2">
        <v>0</v>
      </c>
      <c r="AE77" s="2">
        <v>2138835</v>
      </c>
      <c r="AF77" s="2">
        <v>969221</v>
      </c>
    </row>
    <row r="78" spans="1:32" s="2" customFormat="1" ht="30" customHeight="1" x14ac:dyDescent="0.25">
      <c r="A78" s="1">
        <v>3682159</v>
      </c>
      <c r="B78" s="2">
        <v>709000</v>
      </c>
      <c r="G78" s="2">
        <v>5172647</v>
      </c>
      <c r="H78" s="2">
        <v>1557779</v>
      </c>
      <c r="J78" s="2">
        <v>7471836</v>
      </c>
      <c r="K78" s="2">
        <v>129000</v>
      </c>
      <c r="M78" s="2">
        <v>6907978</v>
      </c>
      <c r="N78" s="2">
        <v>38000</v>
      </c>
      <c r="P78" s="2">
        <v>7080749</v>
      </c>
      <c r="Q78" s="2">
        <v>232000</v>
      </c>
      <c r="S78" s="2">
        <v>3632154</v>
      </c>
      <c r="T78" s="2">
        <v>2113181</v>
      </c>
      <c r="Y78" s="2">
        <v>3625295</v>
      </c>
      <c r="Z78" s="2">
        <v>0</v>
      </c>
      <c r="AB78" s="2">
        <v>3625295</v>
      </c>
      <c r="AC78" s="2">
        <v>0</v>
      </c>
      <c r="AE78" s="2">
        <v>4630845</v>
      </c>
      <c r="AF78" s="2">
        <v>193844</v>
      </c>
    </row>
    <row r="79" spans="1:32" s="2" customFormat="1" ht="30" customHeight="1" x14ac:dyDescent="0.25">
      <c r="A79" s="1">
        <v>3702507</v>
      </c>
      <c r="B79" s="2">
        <v>866000</v>
      </c>
      <c r="G79" s="2">
        <v>5227172</v>
      </c>
      <c r="H79" s="2">
        <v>870000</v>
      </c>
      <c r="J79" s="2">
        <v>7472903</v>
      </c>
      <c r="K79" s="2">
        <v>8000</v>
      </c>
      <c r="M79" s="2">
        <v>6940940</v>
      </c>
      <c r="N79" s="2">
        <v>85000</v>
      </c>
      <c r="P79" s="2">
        <v>7135154</v>
      </c>
      <c r="Q79" s="2">
        <v>490000</v>
      </c>
      <c r="S79" s="2">
        <v>3661910</v>
      </c>
      <c r="T79" s="2">
        <v>895161</v>
      </c>
      <c r="Y79" s="2">
        <v>3632154</v>
      </c>
      <c r="Z79" s="2">
        <v>0</v>
      </c>
      <c r="AB79" s="2">
        <v>3632154</v>
      </c>
      <c r="AC79" s="2">
        <v>0</v>
      </c>
      <c r="AE79" s="2">
        <v>1467756</v>
      </c>
      <c r="AF79" s="2">
        <v>1000000</v>
      </c>
    </row>
    <row r="80" spans="1:32" s="2" customFormat="1" ht="30" customHeight="1" x14ac:dyDescent="0.25">
      <c r="A80" s="1">
        <v>3732526</v>
      </c>
      <c r="B80" s="2">
        <v>8881000</v>
      </c>
      <c r="G80" s="2">
        <v>5231429</v>
      </c>
      <c r="H80" s="2">
        <v>960496</v>
      </c>
      <c r="J80" s="2">
        <v>7555345</v>
      </c>
      <c r="K80" s="2">
        <v>27000</v>
      </c>
      <c r="M80" s="2">
        <v>7044506</v>
      </c>
      <c r="N80" s="2">
        <v>159000</v>
      </c>
      <c r="P80" s="2">
        <v>7143232</v>
      </c>
      <c r="Q80" s="2">
        <v>490000</v>
      </c>
      <c r="S80" s="2">
        <v>3682159</v>
      </c>
      <c r="T80" s="2">
        <v>545641</v>
      </c>
      <c r="Y80" s="2">
        <v>3661910</v>
      </c>
      <c r="Z80" s="2">
        <v>0</v>
      </c>
      <c r="AB80" s="2">
        <v>3661910</v>
      </c>
      <c r="AC80" s="2">
        <v>0</v>
      </c>
      <c r="AE80" s="2">
        <v>3152221</v>
      </c>
      <c r="AF80" s="2">
        <v>3914410</v>
      </c>
    </row>
    <row r="81" spans="1:32" s="2" customFormat="1" ht="30" customHeight="1" x14ac:dyDescent="0.25">
      <c r="A81" s="1">
        <v>3775974</v>
      </c>
      <c r="B81" s="2">
        <v>856000</v>
      </c>
      <c r="G81" s="2">
        <v>5235056</v>
      </c>
      <c r="H81" s="2">
        <v>246346</v>
      </c>
      <c r="J81" s="2">
        <v>7559709</v>
      </c>
      <c r="K81" s="2">
        <v>290000</v>
      </c>
      <c r="M81" s="2">
        <v>7135154</v>
      </c>
      <c r="N81" s="2">
        <v>67000</v>
      </c>
      <c r="P81" s="2">
        <v>7253089</v>
      </c>
      <c r="Q81" s="2">
        <v>421000</v>
      </c>
      <c r="S81" s="2">
        <v>3702507</v>
      </c>
      <c r="T81" s="2">
        <v>753483</v>
      </c>
      <c r="Y81" s="2">
        <v>3682159</v>
      </c>
      <c r="Z81" s="2">
        <v>0</v>
      </c>
      <c r="AB81" s="2">
        <v>3682159</v>
      </c>
      <c r="AC81" s="2">
        <v>0</v>
      </c>
      <c r="AE81" s="2">
        <v>1979411</v>
      </c>
      <c r="AF81" s="2">
        <v>969221</v>
      </c>
    </row>
    <row r="82" spans="1:32" s="2" customFormat="1" ht="30" customHeight="1" x14ac:dyDescent="0.25">
      <c r="A82" s="1">
        <v>3790182</v>
      </c>
      <c r="B82" s="2">
        <v>2468000</v>
      </c>
      <c r="G82" s="2">
        <v>5293571</v>
      </c>
      <c r="H82" s="2">
        <v>198000</v>
      </c>
      <c r="J82" s="2">
        <v>7734736</v>
      </c>
      <c r="K82" s="2">
        <v>134000</v>
      </c>
      <c r="M82" s="2">
        <v>7177985</v>
      </c>
      <c r="N82" s="2">
        <v>32000</v>
      </c>
      <c r="P82" s="2">
        <v>7356784</v>
      </c>
      <c r="Q82" s="2">
        <v>174000</v>
      </c>
      <c r="S82" s="2">
        <v>3732526</v>
      </c>
      <c r="T82" s="2">
        <v>5137000</v>
      </c>
      <c r="Y82" s="2">
        <v>3702507</v>
      </c>
      <c r="Z82" s="2">
        <v>0</v>
      </c>
      <c r="AB82" s="2">
        <v>3702507</v>
      </c>
      <c r="AC82" s="2">
        <v>0</v>
      </c>
      <c r="AE82" s="2">
        <v>5448456</v>
      </c>
      <c r="AF82" s="2">
        <v>484611</v>
      </c>
    </row>
    <row r="83" spans="1:32" s="2" customFormat="1" ht="30" customHeight="1" x14ac:dyDescent="0.25">
      <c r="A83" s="1">
        <v>3801846</v>
      </c>
      <c r="B83" s="2">
        <v>1150000</v>
      </c>
      <c r="G83" s="2">
        <v>5362299</v>
      </c>
      <c r="H83" s="2">
        <v>51000</v>
      </c>
      <c r="J83" s="2">
        <v>7885329</v>
      </c>
      <c r="K83" s="2">
        <v>111000</v>
      </c>
      <c r="M83" s="2">
        <v>7207666</v>
      </c>
      <c r="N83" s="2">
        <v>46000</v>
      </c>
      <c r="P83" s="2">
        <v>7471836</v>
      </c>
      <c r="Q83" s="2">
        <v>421000</v>
      </c>
      <c r="S83" s="2">
        <v>3775974</v>
      </c>
      <c r="T83" s="2">
        <v>884824</v>
      </c>
      <c r="Y83" s="2">
        <v>3732526</v>
      </c>
      <c r="Z83" s="2">
        <v>0</v>
      </c>
      <c r="AB83">
        <v>3732526</v>
      </c>
      <c r="AC83">
        <v>0</v>
      </c>
      <c r="AE83" s="2">
        <v>3438523</v>
      </c>
      <c r="AF83" s="2">
        <v>193844</v>
      </c>
    </row>
    <row r="84" spans="1:32" s="2" customFormat="1" ht="30" customHeight="1" x14ac:dyDescent="0.25">
      <c r="A84" s="1">
        <v>3802797</v>
      </c>
      <c r="B84" s="2">
        <v>893000</v>
      </c>
      <c r="G84" s="2">
        <v>5393471</v>
      </c>
      <c r="H84" s="2">
        <v>155000</v>
      </c>
      <c r="J84" s="2">
        <v>8054292</v>
      </c>
      <c r="K84" s="2">
        <v>26000</v>
      </c>
      <c r="M84" s="2">
        <v>7253089</v>
      </c>
      <c r="N84" s="2">
        <v>45000</v>
      </c>
      <c r="P84" s="2">
        <v>7472903</v>
      </c>
      <c r="Q84" s="2">
        <v>25000</v>
      </c>
      <c r="S84" s="2">
        <v>3790182</v>
      </c>
      <c r="T84" s="2">
        <v>1969101</v>
      </c>
      <c r="Y84" s="2">
        <v>3775974</v>
      </c>
      <c r="Z84" s="2">
        <v>0</v>
      </c>
      <c r="AB84" s="2">
        <v>3775974</v>
      </c>
      <c r="AC84" s="2">
        <v>0</v>
      </c>
      <c r="AE84" s="2">
        <v>3988103</v>
      </c>
      <c r="AF84" s="2">
        <v>1744598</v>
      </c>
    </row>
    <row r="85" spans="1:32" s="2" customFormat="1" ht="30" customHeight="1" x14ac:dyDescent="0.25">
      <c r="A85" s="1">
        <v>3822869</v>
      </c>
      <c r="B85" s="2">
        <v>1161000</v>
      </c>
      <c r="G85" s="2">
        <v>5475959</v>
      </c>
      <c r="H85" s="2">
        <v>138632</v>
      </c>
      <c r="J85" s="2">
        <v>8208204</v>
      </c>
      <c r="K85" s="2">
        <v>168000</v>
      </c>
      <c r="M85" s="2">
        <v>7356784</v>
      </c>
      <c r="N85" s="2">
        <v>27000</v>
      </c>
      <c r="P85" s="2">
        <v>7555345</v>
      </c>
      <c r="Q85" s="2">
        <v>73000</v>
      </c>
      <c r="S85" s="2">
        <v>3801846</v>
      </c>
      <c r="T85" s="2">
        <v>1025842</v>
      </c>
      <c r="Y85" s="2">
        <v>3790182</v>
      </c>
      <c r="Z85" s="2">
        <v>0</v>
      </c>
      <c r="AB85" s="2">
        <v>3790182</v>
      </c>
      <c r="AC85" s="2">
        <v>0</v>
      </c>
      <c r="AE85" s="2">
        <v>3055579</v>
      </c>
      <c r="AF85" s="2">
        <v>1356909</v>
      </c>
    </row>
    <row r="86" spans="1:32" s="2" customFormat="1" ht="30" customHeight="1" x14ac:dyDescent="0.25">
      <c r="A86" s="1">
        <v>3823721</v>
      </c>
      <c r="B86" s="2">
        <v>5608000</v>
      </c>
      <c r="G86" s="2">
        <v>5713240</v>
      </c>
      <c r="H86" s="2">
        <v>576839</v>
      </c>
      <c r="J86" s="2">
        <v>8306216</v>
      </c>
      <c r="K86" s="2">
        <v>192000</v>
      </c>
      <c r="M86" s="2">
        <v>7555345</v>
      </c>
      <c r="N86" s="2">
        <v>11000</v>
      </c>
      <c r="P86" s="2">
        <v>7559709</v>
      </c>
      <c r="Q86" s="2">
        <v>490000</v>
      </c>
      <c r="S86" s="2">
        <v>3802797</v>
      </c>
      <c r="T86" s="2">
        <v>764236</v>
      </c>
      <c r="Y86" s="2">
        <v>3801846</v>
      </c>
      <c r="Z86" s="2">
        <v>0</v>
      </c>
      <c r="AB86">
        <v>3801846</v>
      </c>
      <c r="AC86">
        <v>550000</v>
      </c>
      <c r="AE86" s="2">
        <v>7826049</v>
      </c>
      <c r="AF86" s="2">
        <v>581533</v>
      </c>
    </row>
    <row r="87" spans="1:32" s="2" customFormat="1" ht="30" customHeight="1" x14ac:dyDescent="0.25">
      <c r="A87" s="1">
        <v>3852372</v>
      </c>
      <c r="B87" s="2">
        <v>3790000</v>
      </c>
      <c r="G87" s="2">
        <v>5741111</v>
      </c>
      <c r="H87" s="2">
        <v>184842</v>
      </c>
      <c r="J87" s="2">
        <v>8384795</v>
      </c>
      <c r="K87" s="2">
        <v>81000</v>
      </c>
      <c r="M87" s="2">
        <v>7559709</v>
      </c>
      <c r="N87" s="2">
        <v>154000</v>
      </c>
      <c r="P87" s="2">
        <v>7734736</v>
      </c>
      <c r="Q87" s="2">
        <v>490000</v>
      </c>
      <c r="S87" s="2">
        <v>3822869</v>
      </c>
      <c r="T87" s="2">
        <v>942429</v>
      </c>
      <c r="Y87" s="2">
        <v>3802797</v>
      </c>
      <c r="Z87" s="2">
        <v>0</v>
      </c>
      <c r="AB87" s="2">
        <v>3802797</v>
      </c>
      <c r="AC87" s="2">
        <v>0</v>
      </c>
      <c r="AE87" s="2">
        <v>1526260</v>
      </c>
      <c r="AF87" s="2">
        <v>550000</v>
      </c>
    </row>
    <row r="88" spans="1:32" s="2" customFormat="1" ht="30" customHeight="1" x14ac:dyDescent="0.25">
      <c r="A88" s="1">
        <v>3865693</v>
      </c>
      <c r="B88" s="2">
        <v>4569000</v>
      </c>
      <c r="G88" s="2">
        <v>5773192</v>
      </c>
      <c r="H88" s="2">
        <v>241773</v>
      </c>
      <c r="J88" s="2">
        <v>8492814</v>
      </c>
      <c r="K88" s="2">
        <v>64000</v>
      </c>
      <c r="M88" s="2">
        <v>7665554</v>
      </c>
      <c r="N88" s="2">
        <v>34000</v>
      </c>
      <c r="P88" s="2">
        <v>7885329</v>
      </c>
      <c r="Q88" s="2">
        <v>220000</v>
      </c>
      <c r="S88" s="2">
        <v>3852372</v>
      </c>
      <c r="T88" s="2">
        <v>4746065</v>
      </c>
      <c r="Y88" s="2">
        <v>3822869</v>
      </c>
      <c r="Z88" s="2">
        <v>0</v>
      </c>
      <c r="AB88" s="2">
        <v>3822869</v>
      </c>
      <c r="AC88" s="2">
        <v>0</v>
      </c>
      <c r="AE88" s="2">
        <v>4193951</v>
      </c>
      <c r="AF88" s="2">
        <v>1938442</v>
      </c>
    </row>
    <row r="89" spans="1:32" s="2" customFormat="1" ht="30" customHeight="1" x14ac:dyDescent="0.25">
      <c r="A89" s="1">
        <v>3886672</v>
      </c>
      <c r="B89" s="2">
        <v>2260000</v>
      </c>
      <c r="G89" s="2">
        <v>5792926</v>
      </c>
      <c r="H89" s="2">
        <v>221833</v>
      </c>
      <c r="J89" s="2">
        <v>8501960</v>
      </c>
      <c r="K89" s="2">
        <v>38000</v>
      </c>
      <c r="M89" s="2">
        <v>7734736</v>
      </c>
      <c r="N89" s="2">
        <v>56000</v>
      </c>
      <c r="P89" s="2">
        <v>8054292</v>
      </c>
      <c r="Q89" s="2">
        <v>70000</v>
      </c>
      <c r="S89" s="2">
        <v>3865693</v>
      </c>
      <c r="T89" s="2">
        <v>4461144</v>
      </c>
      <c r="Y89" s="2">
        <v>3823721</v>
      </c>
      <c r="Z89" s="2">
        <v>5305518.1100000003</v>
      </c>
      <c r="AB89" s="2">
        <v>3823721</v>
      </c>
      <c r="AC89" s="2">
        <v>0</v>
      </c>
      <c r="AE89" s="2">
        <v>8425917</v>
      </c>
      <c r="AF89" s="2">
        <v>193844</v>
      </c>
    </row>
    <row r="90" spans="1:32" s="2" customFormat="1" ht="30" customHeight="1" x14ac:dyDescent="0.25">
      <c r="A90" s="1">
        <v>3910140</v>
      </c>
      <c r="B90" s="2">
        <v>2458000</v>
      </c>
      <c r="G90" s="2">
        <v>5793673</v>
      </c>
      <c r="H90" s="2">
        <v>0</v>
      </c>
      <c r="J90" s="2">
        <v>8696715</v>
      </c>
      <c r="K90" s="2">
        <v>90000</v>
      </c>
      <c r="M90" s="2">
        <v>7777619</v>
      </c>
      <c r="N90" s="2">
        <v>36000</v>
      </c>
      <c r="P90" s="2">
        <v>8208204</v>
      </c>
      <c r="Q90" s="2">
        <v>490000</v>
      </c>
      <c r="S90" s="2">
        <v>3886672</v>
      </c>
      <c r="T90" s="2">
        <v>3294309</v>
      </c>
      <c r="Y90">
        <v>3843439</v>
      </c>
      <c r="Z90">
        <v>0</v>
      </c>
      <c r="AB90" s="2">
        <v>3843439</v>
      </c>
      <c r="AC90" s="2">
        <v>0</v>
      </c>
      <c r="AE90" s="2">
        <v>7890129</v>
      </c>
      <c r="AF90" s="2">
        <v>200000</v>
      </c>
    </row>
    <row r="91" spans="1:32" s="2" customFormat="1" ht="30" customHeight="1" x14ac:dyDescent="0.25">
      <c r="A91" s="1">
        <v>3912232</v>
      </c>
      <c r="B91" s="2">
        <v>471000</v>
      </c>
      <c r="G91" s="2">
        <v>5833201</v>
      </c>
      <c r="H91" s="2">
        <v>127500</v>
      </c>
      <c r="J91" s="2">
        <v>8752756</v>
      </c>
      <c r="K91" s="2">
        <v>64000</v>
      </c>
      <c r="M91" s="2">
        <v>7885329</v>
      </c>
      <c r="N91" s="2">
        <v>39000</v>
      </c>
      <c r="P91" s="2">
        <v>8306216</v>
      </c>
      <c r="Q91" s="2">
        <v>490000</v>
      </c>
      <c r="S91" s="2">
        <v>3910140</v>
      </c>
      <c r="T91" s="2">
        <v>2350313</v>
      </c>
      <c r="Y91" s="2">
        <v>3852372</v>
      </c>
      <c r="Z91" s="2">
        <v>0</v>
      </c>
      <c r="AB91" s="2">
        <v>3852372</v>
      </c>
      <c r="AC91" s="2">
        <v>0</v>
      </c>
      <c r="AE91" s="2">
        <v>1226991</v>
      </c>
      <c r="AF91" s="2">
        <v>969221</v>
      </c>
    </row>
    <row r="92" spans="1:32" s="2" customFormat="1" ht="30" customHeight="1" x14ac:dyDescent="0.25">
      <c r="A92" s="1">
        <v>3949768</v>
      </c>
      <c r="B92" s="2">
        <v>1910000</v>
      </c>
      <c r="G92" s="2">
        <v>5918012</v>
      </c>
      <c r="H92" s="2">
        <v>320000</v>
      </c>
      <c r="J92" s="2">
        <v>8791447</v>
      </c>
      <c r="K92" s="2">
        <v>26000</v>
      </c>
      <c r="M92" s="2">
        <v>7890129</v>
      </c>
      <c r="N92" s="2">
        <v>14000</v>
      </c>
      <c r="P92" s="2">
        <v>8384795</v>
      </c>
      <c r="Q92" s="2">
        <v>250000</v>
      </c>
      <c r="S92" s="2">
        <v>3912232</v>
      </c>
      <c r="T92" s="2">
        <v>470063</v>
      </c>
      <c r="Y92" s="2">
        <v>3865693</v>
      </c>
      <c r="Z92" s="2">
        <v>0</v>
      </c>
      <c r="AB92" s="2">
        <v>3865693</v>
      </c>
      <c r="AC92" s="2">
        <v>0</v>
      </c>
      <c r="AE92" s="2">
        <v>3596108</v>
      </c>
      <c r="AF92" s="2">
        <v>800000</v>
      </c>
    </row>
    <row r="93" spans="1:32" s="2" customFormat="1" ht="30" customHeight="1" x14ac:dyDescent="0.25">
      <c r="A93" s="1">
        <v>3959325</v>
      </c>
      <c r="B93" s="2">
        <v>7261000</v>
      </c>
      <c r="G93" s="2">
        <v>5968921</v>
      </c>
      <c r="H93" s="2">
        <v>60000</v>
      </c>
      <c r="J93" s="2">
        <v>8899363</v>
      </c>
      <c r="K93" s="2">
        <v>52000</v>
      </c>
      <c r="M93" s="2">
        <v>8054292</v>
      </c>
      <c r="N93" s="2">
        <v>11000</v>
      </c>
      <c r="P93" s="2">
        <v>8419868</v>
      </c>
      <c r="Q93" s="2">
        <v>490000</v>
      </c>
      <c r="S93" s="2">
        <v>3949768</v>
      </c>
      <c r="T93" s="2">
        <v>2003794</v>
      </c>
      <c r="Y93" s="2">
        <v>3886672</v>
      </c>
      <c r="Z93" s="2">
        <v>0</v>
      </c>
      <c r="AB93" s="2">
        <v>3886672</v>
      </c>
      <c r="AC93" s="2">
        <v>0</v>
      </c>
      <c r="AE93" s="2">
        <v>3865693</v>
      </c>
      <c r="AF93" s="2">
        <v>969221</v>
      </c>
    </row>
    <row r="94" spans="1:32" s="2" customFormat="1" ht="30" customHeight="1" x14ac:dyDescent="0.25">
      <c r="A94" s="1">
        <v>3977219</v>
      </c>
      <c r="B94" s="2">
        <v>313000</v>
      </c>
      <c r="G94" s="2">
        <v>6224406</v>
      </c>
      <c r="H94" s="2">
        <v>750000</v>
      </c>
      <c r="J94" s="2">
        <v>8935632</v>
      </c>
      <c r="K94" s="2">
        <v>64000</v>
      </c>
      <c r="M94" s="2">
        <v>8170444</v>
      </c>
      <c r="N94" s="2">
        <v>9000</v>
      </c>
      <c r="P94" s="2">
        <v>8466886</v>
      </c>
      <c r="Q94" s="2">
        <v>116000</v>
      </c>
      <c r="S94" s="2">
        <v>3959325</v>
      </c>
      <c r="T94" s="2">
        <v>6271188</v>
      </c>
      <c r="Y94" s="2">
        <v>3910140</v>
      </c>
      <c r="Z94" s="2">
        <v>0</v>
      </c>
      <c r="AB94" s="2">
        <v>3910140</v>
      </c>
      <c r="AC94" s="2">
        <v>0</v>
      </c>
      <c r="AE94" s="2">
        <v>5563434</v>
      </c>
      <c r="AF94" s="2">
        <v>550000</v>
      </c>
    </row>
    <row r="95" spans="1:32" s="2" customFormat="1" ht="30" customHeight="1" x14ac:dyDescent="0.25">
      <c r="A95" s="1">
        <v>3988103</v>
      </c>
      <c r="B95" s="2">
        <v>6498000</v>
      </c>
      <c r="G95" s="2">
        <v>6266118</v>
      </c>
      <c r="H95" s="2">
        <v>72000</v>
      </c>
      <c r="J95" s="2">
        <v>9314906</v>
      </c>
      <c r="K95" s="2">
        <v>59000</v>
      </c>
      <c r="M95" s="2">
        <v>8227630</v>
      </c>
      <c r="N95" s="2">
        <v>31000</v>
      </c>
      <c r="P95" s="2">
        <v>8492814</v>
      </c>
      <c r="Q95" s="2">
        <v>174000</v>
      </c>
      <c r="S95" s="2">
        <v>3977219</v>
      </c>
      <c r="T95" s="2">
        <v>307230</v>
      </c>
      <c r="Y95" s="2">
        <v>3912232</v>
      </c>
      <c r="Z95" s="2">
        <v>0</v>
      </c>
      <c r="AB95" s="2">
        <v>3912232</v>
      </c>
      <c r="AC95" s="2">
        <v>0</v>
      </c>
      <c r="AE95" s="2">
        <v>8208204</v>
      </c>
      <c r="AF95" s="2">
        <v>170000</v>
      </c>
    </row>
    <row r="96" spans="1:32" s="2" customFormat="1" ht="30" customHeight="1" x14ac:dyDescent="0.25">
      <c r="A96" s="1">
        <v>4094333</v>
      </c>
      <c r="B96" s="2">
        <v>11710000</v>
      </c>
      <c r="G96" s="2">
        <v>6374958</v>
      </c>
      <c r="H96" s="2">
        <v>197583</v>
      </c>
      <c r="J96" s="2">
        <v>9349276</v>
      </c>
      <c r="K96" s="2">
        <v>265000</v>
      </c>
      <c r="M96" s="2">
        <v>8306216</v>
      </c>
      <c r="N96" s="2">
        <v>90000</v>
      </c>
      <c r="P96" s="2">
        <v>8533092</v>
      </c>
      <c r="Q96" s="2">
        <v>451000</v>
      </c>
      <c r="S96" s="2">
        <v>3988103</v>
      </c>
      <c r="T96" s="2">
        <v>5914186</v>
      </c>
      <c r="Y96" s="2">
        <v>3949768</v>
      </c>
      <c r="Z96" s="2">
        <v>0</v>
      </c>
      <c r="AB96" s="2">
        <v>3949768</v>
      </c>
      <c r="AC96" s="2">
        <v>0</v>
      </c>
      <c r="AE96" s="2">
        <v>6265472</v>
      </c>
      <c r="AF96" s="2">
        <v>600000</v>
      </c>
    </row>
    <row r="97" spans="1:32" s="2" customFormat="1" ht="30" customHeight="1" x14ac:dyDescent="0.25">
      <c r="A97" s="1">
        <v>4148036</v>
      </c>
      <c r="B97" s="2">
        <v>88000</v>
      </c>
      <c r="G97" s="2">
        <v>6492623</v>
      </c>
      <c r="H97" s="2">
        <v>0</v>
      </c>
      <c r="J97" s="2">
        <v>9543067</v>
      </c>
      <c r="K97" s="2">
        <v>59000</v>
      </c>
      <c r="M97" s="2">
        <v>8396068</v>
      </c>
      <c r="N97" s="2">
        <v>175000</v>
      </c>
      <c r="P97" s="2">
        <v>8752756</v>
      </c>
      <c r="Q97" s="2">
        <v>174000</v>
      </c>
      <c r="S97" s="2">
        <v>4094333</v>
      </c>
      <c r="T97" s="2">
        <v>10117323</v>
      </c>
      <c r="Y97" s="2">
        <v>3959325</v>
      </c>
      <c r="Z97" s="2">
        <v>0</v>
      </c>
      <c r="AB97" s="2">
        <v>3959325</v>
      </c>
      <c r="AC97" s="2">
        <v>0</v>
      </c>
      <c r="AE97" s="2">
        <v>8899363</v>
      </c>
      <c r="AF97" s="2">
        <v>400000</v>
      </c>
    </row>
    <row r="98" spans="1:32" s="2" customFormat="1" ht="30" customHeight="1" x14ac:dyDescent="0.25">
      <c r="A98" s="1">
        <v>4234054</v>
      </c>
      <c r="B98" s="2">
        <v>11282000</v>
      </c>
      <c r="G98" s="2">
        <v>6552817</v>
      </c>
      <c r="H98" s="2">
        <v>429374</v>
      </c>
      <c r="J98" s="2">
        <v>9813481</v>
      </c>
      <c r="K98" s="2">
        <v>123000</v>
      </c>
      <c r="M98" s="2">
        <v>8492814</v>
      </c>
      <c r="N98" s="2">
        <v>27000</v>
      </c>
      <c r="P98" s="2">
        <v>8791447</v>
      </c>
      <c r="Q98" s="2">
        <v>70000</v>
      </c>
      <c r="S98" s="2">
        <v>4148036</v>
      </c>
      <c r="T98" s="2">
        <v>82952</v>
      </c>
      <c r="Y98" s="2">
        <v>3977219</v>
      </c>
      <c r="Z98" s="2">
        <v>0</v>
      </c>
      <c r="AB98" s="2">
        <v>3977219</v>
      </c>
      <c r="AC98" s="2">
        <v>0</v>
      </c>
      <c r="AE98" s="2">
        <v>4661168</v>
      </c>
      <c r="AF98" s="2">
        <v>500000</v>
      </c>
    </row>
    <row r="99" spans="1:32" s="2" customFormat="1" ht="30" customHeight="1" x14ac:dyDescent="0.25">
      <c r="A99" s="1">
        <v>4297455</v>
      </c>
      <c r="B99" s="2">
        <v>2357000</v>
      </c>
      <c r="G99" s="2">
        <v>6719009</v>
      </c>
      <c r="H99" s="2">
        <v>362851</v>
      </c>
      <c r="J99" s="2">
        <v>9860755</v>
      </c>
      <c r="K99" s="2">
        <v>21000</v>
      </c>
      <c r="M99" s="2">
        <v>8501960</v>
      </c>
      <c r="N99" s="2">
        <v>16000</v>
      </c>
      <c r="P99" s="2">
        <v>8899363</v>
      </c>
      <c r="Q99" s="2">
        <v>253000</v>
      </c>
      <c r="S99" s="2">
        <v>4193951</v>
      </c>
      <c r="T99" s="2">
        <v>19481091</v>
      </c>
      <c r="Y99" s="2">
        <v>3988103</v>
      </c>
      <c r="Z99" s="2">
        <v>0</v>
      </c>
      <c r="AB99" s="2">
        <v>3988103</v>
      </c>
      <c r="AC99" s="2">
        <v>0</v>
      </c>
      <c r="AE99" s="2">
        <v>7471836</v>
      </c>
      <c r="AF99" s="2">
        <v>400000</v>
      </c>
    </row>
    <row r="100" spans="1:32" s="2" customFormat="1" ht="30" customHeight="1" x14ac:dyDescent="0.25">
      <c r="A100" s="1">
        <v>4337287</v>
      </c>
      <c r="B100" s="2">
        <v>2682000</v>
      </c>
      <c r="G100" s="2">
        <v>6722018</v>
      </c>
      <c r="H100" s="2">
        <v>1360437</v>
      </c>
      <c r="J100" s="2">
        <v>9864940</v>
      </c>
      <c r="K100" s="2">
        <v>10000</v>
      </c>
      <c r="M100" s="2">
        <v>8609487</v>
      </c>
      <c r="N100" s="2">
        <v>221000</v>
      </c>
      <c r="P100" s="2">
        <v>8935632</v>
      </c>
      <c r="Q100" s="2">
        <v>174000</v>
      </c>
      <c r="S100">
        <v>4234054</v>
      </c>
      <c r="T100">
        <v>10451212</v>
      </c>
      <c r="Y100" s="2">
        <v>4094333</v>
      </c>
      <c r="Z100" s="2">
        <v>2325498.66</v>
      </c>
      <c r="AB100" s="2">
        <v>4094333</v>
      </c>
      <c r="AC100" s="2">
        <v>0</v>
      </c>
      <c r="AE100" s="2">
        <v>9314906</v>
      </c>
      <c r="AF100" s="2">
        <v>200000</v>
      </c>
    </row>
    <row r="101" spans="1:32" s="2" customFormat="1" ht="30" customHeight="1" x14ac:dyDescent="0.25">
      <c r="A101" s="1">
        <v>4343228</v>
      </c>
      <c r="B101" s="2">
        <v>4562000</v>
      </c>
      <c r="G101" s="2">
        <v>6732891</v>
      </c>
      <c r="H101" s="2">
        <v>828000</v>
      </c>
      <c r="J101" s="2">
        <v>9958898</v>
      </c>
      <c r="K101" s="2">
        <v>99000</v>
      </c>
      <c r="M101" s="2">
        <v>8696715</v>
      </c>
      <c r="N101" s="2">
        <v>50000</v>
      </c>
      <c r="P101" s="2">
        <v>9220832</v>
      </c>
      <c r="Q101" s="2">
        <v>490000</v>
      </c>
      <c r="S101" s="2">
        <v>4263940</v>
      </c>
      <c r="T101" s="2">
        <v>0</v>
      </c>
      <c r="Y101" s="2">
        <v>4142726</v>
      </c>
      <c r="Z101" s="2">
        <v>0</v>
      </c>
      <c r="AB101" s="2">
        <v>4142726</v>
      </c>
      <c r="AC101" s="2">
        <v>571000</v>
      </c>
      <c r="AE101" s="2">
        <v>9909982</v>
      </c>
      <c r="AF101" s="2">
        <v>300000</v>
      </c>
    </row>
    <row r="102" spans="1:32" s="2" customFormat="1" ht="30" customHeight="1" x14ac:dyDescent="0.25">
      <c r="A102" s="3">
        <v>4353078</v>
      </c>
      <c r="B102" s="2">
        <v>1953000</v>
      </c>
      <c r="G102" s="2">
        <v>6790491</v>
      </c>
      <c r="H102" s="2">
        <v>164160</v>
      </c>
      <c r="M102" s="2">
        <v>8752756</v>
      </c>
      <c r="N102" s="2">
        <v>27000</v>
      </c>
      <c r="P102" s="2">
        <v>9314906</v>
      </c>
      <c r="Q102" s="2">
        <v>194000</v>
      </c>
      <c r="S102" s="2">
        <v>4297455</v>
      </c>
      <c r="T102" s="2">
        <v>1808358</v>
      </c>
      <c r="Y102" s="2">
        <v>4148036</v>
      </c>
      <c r="Z102" s="2">
        <v>0</v>
      </c>
      <c r="AB102" s="2">
        <v>4148036</v>
      </c>
      <c r="AC102" s="2">
        <v>0</v>
      </c>
      <c r="AE102" s="2">
        <v>4263940</v>
      </c>
      <c r="AF102" s="2">
        <v>0</v>
      </c>
    </row>
    <row r="103" spans="1:32" s="2" customFormat="1" ht="30" customHeight="1" x14ac:dyDescent="0.25">
      <c r="A103" s="1">
        <v>4358523</v>
      </c>
      <c r="B103" s="2">
        <v>498000</v>
      </c>
      <c r="G103" s="2">
        <v>6806376</v>
      </c>
      <c r="H103" s="2">
        <v>210053</v>
      </c>
      <c r="M103" s="2">
        <v>8788790</v>
      </c>
      <c r="N103" s="2">
        <v>278000</v>
      </c>
      <c r="P103" s="2">
        <v>9349276</v>
      </c>
      <c r="Q103" s="2">
        <v>490000</v>
      </c>
      <c r="S103" s="2">
        <v>4337287</v>
      </c>
      <c r="T103" s="2">
        <v>1606508</v>
      </c>
      <c r="Y103">
        <v>4234054</v>
      </c>
      <c r="Z103">
        <v>0</v>
      </c>
      <c r="AB103" s="2">
        <v>4234054</v>
      </c>
      <c r="AC103" s="2">
        <v>0</v>
      </c>
      <c r="AE103" s="2">
        <v>3069495</v>
      </c>
      <c r="AF103" s="2">
        <v>798746</v>
      </c>
    </row>
    <row r="104" spans="1:32" s="2" customFormat="1" ht="30" customHeight="1" x14ac:dyDescent="0.25">
      <c r="A104" s="1">
        <v>4418892</v>
      </c>
      <c r="B104" s="2">
        <v>13455000</v>
      </c>
      <c r="G104" s="2">
        <v>6836867</v>
      </c>
      <c r="H104" s="2">
        <v>634290</v>
      </c>
      <c r="M104" s="2">
        <v>8791447</v>
      </c>
      <c r="N104" s="2">
        <v>11000</v>
      </c>
      <c r="P104" s="2">
        <v>9543067</v>
      </c>
      <c r="Q104" s="2">
        <v>160000</v>
      </c>
      <c r="S104" s="2">
        <v>4343228</v>
      </c>
      <c r="T104" s="2">
        <v>4018574</v>
      </c>
      <c r="Y104" s="2">
        <v>4297455</v>
      </c>
      <c r="Z104" s="2">
        <v>0</v>
      </c>
      <c r="AB104" s="2">
        <v>4297455</v>
      </c>
      <c r="AC104" s="2">
        <v>0</v>
      </c>
      <c r="AE104" s="2">
        <v>4343228</v>
      </c>
      <c r="AF104" s="2">
        <v>800000</v>
      </c>
    </row>
    <row r="105" spans="1:32" s="2" customFormat="1" ht="30" customHeight="1" x14ac:dyDescent="0.25">
      <c r="A105" s="1">
        <v>4493554</v>
      </c>
      <c r="B105" s="2">
        <v>1058000</v>
      </c>
      <c r="G105" s="2">
        <v>6940940</v>
      </c>
      <c r="H105" s="2">
        <v>506467</v>
      </c>
      <c r="M105" s="2">
        <v>8935632</v>
      </c>
      <c r="N105" s="2">
        <v>27000</v>
      </c>
      <c r="P105" s="2">
        <v>9603734</v>
      </c>
      <c r="Q105" s="2">
        <v>233000</v>
      </c>
      <c r="S105" s="2">
        <v>4353078</v>
      </c>
      <c r="T105" s="2">
        <v>2459810</v>
      </c>
      <c r="Y105" s="2">
        <v>4319542</v>
      </c>
      <c r="Z105" s="2">
        <v>0</v>
      </c>
      <c r="AB105" s="2">
        <v>4319542</v>
      </c>
      <c r="AC105" s="2">
        <v>0</v>
      </c>
      <c r="AE105" s="2">
        <v>9543067</v>
      </c>
      <c r="AF105" s="2">
        <v>300000</v>
      </c>
    </row>
    <row r="106" spans="1:32" s="2" customFormat="1" ht="30" customHeight="1" x14ac:dyDescent="0.25">
      <c r="A106" s="1">
        <v>4501907</v>
      </c>
      <c r="B106" s="2">
        <v>500000</v>
      </c>
      <c r="G106" s="2">
        <v>7007714</v>
      </c>
      <c r="H106" s="2">
        <v>474000</v>
      </c>
      <c r="M106" s="2">
        <v>9072226</v>
      </c>
      <c r="N106" s="2">
        <v>21000</v>
      </c>
      <c r="P106" s="2">
        <v>9813481</v>
      </c>
      <c r="Q106" s="2">
        <v>303000</v>
      </c>
      <c r="S106" s="2">
        <v>4358523</v>
      </c>
      <c r="T106" s="2">
        <v>466376</v>
      </c>
      <c r="Y106" s="2">
        <v>4337287</v>
      </c>
      <c r="Z106" s="2">
        <v>934931</v>
      </c>
      <c r="AB106" s="2">
        <v>4337287</v>
      </c>
      <c r="AC106" s="2">
        <v>0</v>
      </c>
      <c r="AE106" s="2">
        <v>1297986</v>
      </c>
      <c r="AF106" s="2">
        <v>300000</v>
      </c>
    </row>
    <row r="107" spans="1:32" s="2" customFormat="1" ht="30" customHeight="1" x14ac:dyDescent="0.25">
      <c r="A107" s="1">
        <v>4530859</v>
      </c>
      <c r="B107" s="2">
        <v>5184000</v>
      </c>
      <c r="G107" s="2">
        <v>7044506</v>
      </c>
      <c r="H107" s="2">
        <v>520000</v>
      </c>
      <c r="M107" s="2">
        <v>9220832</v>
      </c>
      <c r="N107" s="2">
        <v>126000</v>
      </c>
      <c r="P107" s="2">
        <v>9860755</v>
      </c>
      <c r="Q107" s="2">
        <v>57000</v>
      </c>
      <c r="S107" s="2">
        <v>4418892</v>
      </c>
      <c r="T107" s="2">
        <v>15516703</v>
      </c>
      <c r="Y107" s="2">
        <v>4343228</v>
      </c>
      <c r="Z107" s="2">
        <v>0</v>
      </c>
      <c r="AB107">
        <v>4343228</v>
      </c>
      <c r="AC107">
        <v>0</v>
      </c>
      <c r="AE107" s="2">
        <v>2925974</v>
      </c>
      <c r="AF107" s="2">
        <v>950000</v>
      </c>
    </row>
    <row r="108" spans="1:32" s="2" customFormat="1" ht="30" customHeight="1" x14ac:dyDescent="0.25">
      <c r="A108" s="1">
        <v>4630845</v>
      </c>
      <c r="B108" s="2">
        <v>4910000</v>
      </c>
      <c r="G108" s="2">
        <v>7135154</v>
      </c>
      <c r="H108" s="2">
        <v>550428</v>
      </c>
      <c r="M108" s="2">
        <v>9349276</v>
      </c>
      <c r="N108" s="2">
        <v>93000</v>
      </c>
      <c r="P108" s="2">
        <v>9864940</v>
      </c>
      <c r="Q108" s="2">
        <v>33000</v>
      </c>
      <c r="S108" s="2">
        <v>4493554</v>
      </c>
      <c r="T108" s="2">
        <v>1033370</v>
      </c>
      <c r="Y108">
        <v>4353078</v>
      </c>
      <c r="Z108">
        <v>0</v>
      </c>
      <c r="AB108" s="2">
        <v>4353078</v>
      </c>
      <c r="AC108" s="2">
        <v>0</v>
      </c>
      <c r="AE108" s="2">
        <v>6790491</v>
      </c>
      <c r="AF108" s="2">
        <v>500000</v>
      </c>
    </row>
    <row r="109" spans="1:32" s="2" customFormat="1" ht="30" customHeight="1" x14ac:dyDescent="0.25">
      <c r="A109" s="1">
        <v>4654168</v>
      </c>
      <c r="B109" s="2">
        <v>6074000</v>
      </c>
      <c r="G109" s="2">
        <v>7143232</v>
      </c>
      <c r="H109" s="2">
        <v>0</v>
      </c>
      <c r="M109" s="2">
        <v>9543067</v>
      </c>
      <c r="N109" s="2">
        <v>25000</v>
      </c>
      <c r="P109" s="2">
        <v>9909982</v>
      </c>
      <c r="Q109" s="2">
        <v>168000</v>
      </c>
      <c r="S109" s="2">
        <v>4501907</v>
      </c>
      <c r="T109" s="2">
        <v>384038</v>
      </c>
      <c r="Y109" s="2">
        <v>4358523</v>
      </c>
      <c r="Z109" s="2">
        <v>0</v>
      </c>
      <c r="AB109" s="2">
        <v>4358523</v>
      </c>
      <c r="AC109" s="2">
        <v>0</v>
      </c>
      <c r="AE109" s="2">
        <v>3146268</v>
      </c>
      <c r="AF109" s="2">
        <v>100000</v>
      </c>
    </row>
    <row r="110" spans="1:32" s="2" customFormat="1" ht="30" customHeight="1" x14ac:dyDescent="0.25">
      <c r="A110" s="3">
        <v>4661168</v>
      </c>
      <c r="B110" s="2">
        <v>1468000</v>
      </c>
      <c r="G110" s="2">
        <v>7177985</v>
      </c>
      <c r="H110" s="2">
        <v>227577</v>
      </c>
      <c r="M110" s="2">
        <v>9603734</v>
      </c>
      <c r="N110" s="2">
        <v>36000</v>
      </c>
      <c r="P110" s="2">
        <v>9958898</v>
      </c>
      <c r="Q110" s="2">
        <v>270000</v>
      </c>
      <c r="S110" s="2">
        <v>4530859</v>
      </c>
      <c r="T110" s="2">
        <v>5890376</v>
      </c>
      <c r="Y110">
        <v>4385424</v>
      </c>
      <c r="Z110">
        <v>0</v>
      </c>
      <c r="AB110" s="2">
        <v>4385424</v>
      </c>
      <c r="AC110" s="2">
        <v>0</v>
      </c>
      <c r="AE110" s="2">
        <v>6940940</v>
      </c>
      <c r="AF110" s="2">
        <v>484611</v>
      </c>
    </row>
    <row r="111" spans="1:32" s="2" customFormat="1" ht="30" customHeight="1" x14ac:dyDescent="0.25">
      <c r="A111" s="1">
        <v>4756138</v>
      </c>
      <c r="B111" s="2">
        <v>723000</v>
      </c>
      <c r="G111" s="2">
        <v>7253089</v>
      </c>
      <c r="H111" s="2">
        <v>428538</v>
      </c>
      <c r="M111" s="2">
        <v>9813481</v>
      </c>
      <c r="N111" s="2">
        <v>51000</v>
      </c>
      <c r="S111" s="2">
        <v>4630845</v>
      </c>
      <c r="T111" s="2">
        <v>5819559</v>
      </c>
      <c r="Y111" s="2">
        <v>4418892</v>
      </c>
      <c r="Z111" s="2">
        <v>2974857.86</v>
      </c>
      <c r="AB111" s="2">
        <v>4418892</v>
      </c>
      <c r="AC111" s="2">
        <v>0</v>
      </c>
      <c r="AE111" s="2">
        <v>9958898</v>
      </c>
      <c r="AF111" s="2">
        <v>100000</v>
      </c>
    </row>
    <row r="112" spans="1:32" s="2" customFormat="1" ht="30" customHeight="1" x14ac:dyDescent="0.25">
      <c r="A112" s="1">
        <v>4823957</v>
      </c>
      <c r="B112" s="2">
        <v>5488000</v>
      </c>
      <c r="G112" s="2">
        <v>7326055</v>
      </c>
      <c r="H112" s="2">
        <v>496989</v>
      </c>
      <c r="M112" s="2">
        <v>9958898</v>
      </c>
      <c r="N112" s="2">
        <v>42000</v>
      </c>
      <c r="S112" s="2">
        <v>4654168</v>
      </c>
      <c r="T112" s="2">
        <v>8832875</v>
      </c>
      <c r="Y112" s="2">
        <v>4441304</v>
      </c>
      <c r="Z112" s="2">
        <v>0</v>
      </c>
      <c r="AB112" s="2">
        <v>4441304</v>
      </c>
      <c r="AC112" s="2">
        <v>0</v>
      </c>
      <c r="AE112" s="2">
        <v>1807508</v>
      </c>
      <c r="AF112" s="2">
        <v>350000</v>
      </c>
    </row>
    <row r="113" spans="1:32" s="2" customFormat="1" ht="30" customHeight="1" x14ac:dyDescent="0.25">
      <c r="A113" s="1">
        <v>4873800</v>
      </c>
      <c r="B113" s="2">
        <v>2580000</v>
      </c>
      <c r="G113" s="2">
        <v>7471836</v>
      </c>
      <c r="H113" s="2">
        <v>0</v>
      </c>
      <c r="S113" s="2">
        <v>4661168</v>
      </c>
      <c r="T113" s="2">
        <v>1741997</v>
      </c>
      <c r="Y113" s="2">
        <v>4493554</v>
      </c>
      <c r="Z113" s="2">
        <v>0</v>
      </c>
      <c r="AB113" s="2">
        <v>4493554</v>
      </c>
      <c r="AC113" s="2">
        <v>0</v>
      </c>
      <c r="AE113" s="2">
        <v>5070480</v>
      </c>
      <c r="AF113" s="2">
        <v>35000</v>
      </c>
    </row>
    <row r="114" spans="1:32" s="2" customFormat="1" ht="30" customHeight="1" x14ac:dyDescent="0.25">
      <c r="A114" s="1">
        <v>4890597</v>
      </c>
      <c r="B114" s="2">
        <v>1637000</v>
      </c>
      <c r="G114" s="2">
        <v>7555345</v>
      </c>
      <c r="H114" s="2">
        <v>120175</v>
      </c>
      <c r="S114" s="2">
        <v>4756138</v>
      </c>
      <c r="T114" s="2">
        <v>721076</v>
      </c>
      <c r="Y114" s="2">
        <v>4501907</v>
      </c>
      <c r="Z114" s="2">
        <v>0</v>
      </c>
      <c r="AB114" s="2">
        <v>4501907</v>
      </c>
      <c r="AC114" s="2">
        <v>0</v>
      </c>
      <c r="AE114" s="2">
        <v>8501960</v>
      </c>
      <c r="AF114" s="2">
        <v>200000</v>
      </c>
    </row>
    <row r="115" spans="1:32" s="2" customFormat="1" ht="30" customHeight="1" x14ac:dyDescent="0.25">
      <c r="A115" s="1">
        <v>5063729</v>
      </c>
      <c r="B115" s="2">
        <v>602000</v>
      </c>
      <c r="G115" s="2">
        <v>7559709</v>
      </c>
      <c r="H115" s="2">
        <v>1279387</v>
      </c>
      <c r="S115" s="2">
        <v>4823957</v>
      </c>
      <c r="T115" s="2">
        <v>4935657</v>
      </c>
      <c r="Y115" s="2">
        <v>4530859</v>
      </c>
      <c r="Z115" s="2">
        <v>0</v>
      </c>
      <c r="AB115" s="2">
        <v>4530859</v>
      </c>
      <c r="AC115" s="2">
        <v>0</v>
      </c>
      <c r="AE115" s="2">
        <v>8696715</v>
      </c>
      <c r="AF115" s="2">
        <v>750000</v>
      </c>
    </row>
    <row r="116" spans="1:32" s="2" customFormat="1" ht="30" customHeight="1" x14ac:dyDescent="0.25">
      <c r="A116" s="1">
        <v>5070480</v>
      </c>
      <c r="B116" s="2">
        <v>150000</v>
      </c>
      <c r="G116" s="2">
        <v>7665554</v>
      </c>
      <c r="H116" s="2">
        <v>106000</v>
      </c>
      <c r="S116" s="2">
        <v>4873800</v>
      </c>
      <c r="T116" s="2">
        <v>3176609</v>
      </c>
      <c r="Y116" s="2">
        <v>4630845</v>
      </c>
      <c r="Z116" s="2">
        <v>1924941.6</v>
      </c>
      <c r="AB116" s="2">
        <v>4630845</v>
      </c>
      <c r="AC116" s="2">
        <v>0</v>
      </c>
      <c r="AE116" s="2">
        <v>1660265</v>
      </c>
      <c r="AF116" s="2">
        <v>387688</v>
      </c>
    </row>
    <row r="117" spans="1:32" s="2" customFormat="1" ht="30" customHeight="1" x14ac:dyDescent="0.25">
      <c r="A117" s="1">
        <v>5091362</v>
      </c>
      <c r="B117" s="2">
        <v>1083000</v>
      </c>
      <c r="G117" s="2">
        <v>7734736</v>
      </c>
      <c r="H117" s="2">
        <v>566330</v>
      </c>
      <c r="S117" s="2">
        <v>4890597</v>
      </c>
      <c r="T117" s="2">
        <v>1404197</v>
      </c>
      <c r="Y117" s="2">
        <v>4654168</v>
      </c>
      <c r="Z117" s="2">
        <v>2490660</v>
      </c>
      <c r="AB117" s="2">
        <v>4654168</v>
      </c>
      <c r="AC117" s="2">
        <v>0</v>
      </c>
      <c r="AE117" s="2">
        <v>6492623</v>
      </c>
      <c r="AF117" s="2">
        <v>500000</v>
      </c>
    </row>
    <row r="118" spans="1:32" s="2" customFormat="1" ht="30" customHeight="1" x14ac:dyDescent="0.25">
      <c r="A118" s="1">
        <v>5172647</v>
      </c>
      <c r="B118" s="2">
        <v>23657000</v>
      </c>
      <c r="G118" s="2">
        <v>7759833</v>
      </c>
      <c r="H118" s="2">
        <v>900000</v>
      </c>
      <c r="S118" s="2">
        <v>5063729</v>
      </c>
      <c r="T118" s="2">
        <v>564075</v>
      </c>
      <c r="Y118" s="2">
        <v>4661168</v>
      </c>
      <c r="Z118" s="2">
        <v>0</v>
      </c>
      <c r="AB118" s="2">
        <v>4661168</v>
      </c>
      <c r="AC118" s="2">
        <v>0</v>
      </c>
      <c r="AE118" s="2">
        <v>8900016</v>
      </c>
      <c r="AF118" s="2">
        <v>193844</v>
      </c>
    </row>
    <row r="119" spans="1:32" s="2" customFormat="1" ht="30" customHeight="1" x14ac:dyDescent="0.25">
      <c r="A119" s="1">
        <v>5227172</v>
      </c>
      <c r="B119" s="2">
        <v>7908000</v>
      </c>
      <c r="G119" s="2">
        <v>7826049</v>
      </c>
      <c r="H119" s="2">
        <v>415895</v>
      </c>
      <c r="S119" s="2">
        <v>5070480</v>
      </c>
      <c r="T119" s="2">
        <v>124428</v>
      </c>
      <c r="Y119" s="2">
        <v>4756138</v>
      </c>
      <c r="Z119" s="2">
        <v>0</v>
      </c>
      <c r="AB119" s="2">
        <v>4756138</v>
      </c>
      <c r="AC119" s="2">
        <v>0</v>
      </c>
      <c r="AE119" s="2">
        <v>9076392</v>
      </c>
      <c r="AF119" s="2">
        <v>1500000</v>
      </c>
    </row>
    <row r="120" spans="1:32" s="2" customFormat="1" ht="30" customHeight="1" x14ac:dyDescent="0.25">
      <c r="A120" s="1">
        <v>5231429</v>
      </c>
      <c r="B120" s="2">
        <v>3992000</v>
      </c>
      <c r="G120" s="2">
        <v>7885329</v>
      </c>
      <c r="H120" s="2">
        <v>129000</v>
      </c>
      <c r="S120" s="2">
        <v>5091362</v>
      </c>
      <c r="T120" s="2">
        <v>892504</v>
      </c>
      <c r="Y120" s="2">
        <v>4823957</v>
      </c>
      <c r="Z120" s="2">
        <v>0</v>
      </c>
      <c r="AB120" s="2">
        <v>4823957</v>
      </c>
      <c r="AC120" s="2">
        <v>0</v>
      </c>
      <c r="AE120" s="2">
        <v>7555345</v>
      </c>
      <c r="AF120" s="2">
        <v>150000</v>
      </c>
    </row>
    <row r="121" spans="1:32" s="2" customFormat="1" ht="30" customHeight="1" x14ac:dyDescent="0.25">
      <c r="A121" s="1">
        <v>5235056</v>
      </c>
      <c r="B121" s="2">
        <v>1289000</v>
      </c>
      <c r="G121" s="2">
        <v>7901485</v>
      </c>
      <c r="H121" s="2">
        <v>460257</v>
      </c>
      <c r="S121" s="2">
        <v>5227172</v>
      </c>
      <c r="T121" s="2">
        <v>5786839</v>
      </c>
      <c r="Y121" s="2">
        <v>4853448</v>
      </c>
      <c r="Z121" s="2">
        <v>0</v>
      </c>
      <c r="AB121" s="2">
        <v>4853448</v>
      </c>
      <c r="AC121" s="2">
        <v>1000000</v>
      </c>
      <c r="AE121" s="2">
        <v>2073130</v>
      </c>
      <c r="AF121" s="2">
        <v>200000</v>
      </c>
    </row>
    <row r="122" spans="1:32" s="2" customFormat="1" ht="30" customHeight="1" x14ac:dyDescent="0.25">
      <c r="A122" s="1">
        <v>5285192</v>
      </c>
      <c r="B122" s="2">
        <v>394000</v>
      </c>
      <c r="G122" s="2">
        <v>8054292</v>
      </c>
      <c r="H122" s="2">
        <v>147610</v>
      </c>
      <c r="S122" s="2">
        <v>5231429</v>
      </c>
      <c r="T122" s="2">
        <v>4654394</v>
      </c>
      <c r="Y122" s="2">
        <v>4873800</v>
      </c>
      <c r="Z122" s="2">
        <v>0</v>
      </c>
      <c r="AB122">
        <v>4873800</v>
      </c>
      <c r="AC122">
        <v>0</v>
      </c>
      <c r="AE122" s="2">
        <v>8752756</v>
      </c>
      <c r="AF122" s="2">
        <v>350000</v>
      </c>
    </row>
    <row r="123" spans="1:32" s="2" customFormat="1" ht="30" customHeight="1" x14ac:dyDescent="0.25">
      <c r="A123" s="1">
        <v>5293407</v>
      </c>
      <c r="B123" s="2">
        <v>216000</v>
      </c>
      <c r="G123" s="2">
        <v>8170444</v>
      </c>
      <c r="H123" s="2">
        <v>32000</v>
      </c>
      <c r="S123" s="2">
        <v>5235056</v>
      </c>
      <c r="T123" s="2">
        <v>1244283</v>
      </c>
      <c r="Y123" s="2">
        <v>4890597</v>
      </c>
      <c r="Z123" s="2">
        <v>743222.14</v>
      </c>
      <c r="AB123" s="2">
        <v>4890597</v>
      </c>
      <c r="AC123" s="2">
        <v>0</v>
      </c>
      <c r="AE123" s="2">
        <v>3661910</v>
      </c>
      <c r="AF123" s="2">
        <v>250000</v>
      </c>
    </row>
    <row r="124" spans="1:32" s="2" customFormat="1" ht="30" customHeight="1" x14ac:dyDescent="0.25">
      <c r="A124" s="1">
        <v>5293571</v>
      </c>
      <c r="B124" s="2">
        <v>2981000</v>
      </c>
      <c r="G124" s="2">
        <v>8306216</v>
      </c>
      <c r="H124" s="2">
        <v>321000</v>
      </c>
      <c r="S124" s="2">
        <v>5285192</v>
      </c>
      <c r="T124" s="2">
        <v>445484</v>
      </c>
      <c r="Y124" s="2">
        <v>5002625</v>
      </c>
      <c r="Z124" s="2">
        <v>0</v>
      </c>
      <c r="AB124" s="2">
        <v>5002625</v>
      </c>
      <c r="AC124" s="2">
        <v>83000</v>
      </c>
      <c r="AE124" s="2">
        <v>7356784</v>
      </c>
      <c r="AF124" s="2">
        <v>350000</v>
      </c>
    </row>
    <row r="125" spans="1:32" s="2" customFormat="1" ht="30" customHeight="1" x14ac:dyDescent="0.25">
      <c r="A125" s="1">
        <v>5312119</v>
      </c>
      <c r="B125" s="2">
        <v>1636000</v>
      </c>
      <c r="G125" s="2">
        <v>8492814</v>
      </c>
      <c r="H125" s="2">
        <v>241135</v>
      </c>
      <c r="S125" s="2">
        <v>5293407</v>
      </c>
      <c r="T125" s="2">
        <v>220664</v>
      </c>
      <c r="Y125" s="2">
        <v>5063729</v>
      </c>
      <c r="Z125" s="2">
        <v>0</v>
      </c>
      <c r="AB125">
        <v>5063729</v>
      </c>
      <c r="AC125">
        <v>0</v>
      </c>
      <c r="AE125" s="2">
        <v>8935632</v>
      </c>
      <c r="AF125" s="2">
        <v>400000</v>
      </c>
    </row>
    <row r="126" spans="1:32" s="2" customFormat="1" ht="30" customHeight="1" x14ac:dyDescent="0.25">
      <c r="A126" s="1">
        <v>5362299</v>
      </c>
      <c r="B126" s="2">
        <v>620000</v>
      </c>
      <c r="G126" s="2">
        <v>8501960</v>
      </c>
      <c r="H126" s="2">
        <v>147808</v>
      </c>
      <c r="S126" s="2">
        <v>5293571</v>
      </c>
      <c r="T126" s="2">
        <v>2652259</v>
      </c>
      <c r="Y126" s="2">
        <v>5070480</v>
      </c>
      <c r="Z126" s="2">
        <v>0</v>
      </c>
      <c r="AB126" s="2">
        <v>5070480</v>
      </c>
      <c r="AC126" s="2">
        <v>0</v>
      </c>
      <c r="AE126" s="2">
        <v>7734736</v>
      </c>
      <c r="AF126" s="2">
        <v>550000</v>
      </c>
    </row>
    <row r="127" spans="1:32" s="2" customFormat="1" ht="30" customHeight="1" x14ac:dyDescent="0.25">
      <c r="A127" s="1">
        <v>5391602</v>
      </c>
      <c r="B127" s="2">
        <v>6969000</v>
      </c>
      <c r="G127" s="2">
        <v>8533092</v>
      </c>
      <c r="H127" s="2">
        <v>226000</v>
      </c>
      <c r="S127" s="2">
        <v>5312119</v>
      </c>
      <c r="T127" s="2">
        <v>1741613</v>
      </c>
      <c r="Y127" s="2">
        <v>5091362</v>
      </c>
      <c r="Z127" s="2">
        <v>0</v>
      </c>
      <c r="AB127" s="2">
        <v>5091362</v>
      </c>
      <c r="AC127" s="2">
        <v>0</v>
      </c>
      <c r="AE127" s="2">
        <v>5285192</v>
      </c>
      <c r="AF127" s="2">
        <v>100000</v>
      </c>
    </row>
    <row r="128" spans="1:32" s="2" customFormat="1" ht="30" customHeight="1" x14ac:dyDescent="0.25">
      <c r="A128" s="1">
        <v>5393471</v>
      </c>
      <c r="B128" s="2">
        <v>2855000</v>
      </c>
      <c r="G128" s="2">
        <v>8588423</v>
      </c>
      <c r="H128" s="2">
        <v>753231</v>
      </c>
      <c r="S128" s="2">
        <v>5362299</v>
      </c>
      <c r="T128" s="2">
        <v>683158</v>
      </c>
      <c r="Y128" s="2">
        <v>5172647</v>
      </c>
      <c r="Z128" s="2">
        <v>10061036</v>
      </c>
      <c r="AB128" s="2">
        <v>5172647</v>
      </c>
      <c r="AC128" s="2">
        <v>0</v>
      </c>
      <c r="AE128" s="2">
        <v>5861633</v>
      </c>
      <c r="AF128" s="2">
        <v>200000</v>
      </c>
    </row>
    <row r="129" spans="1:32" s="2" customFormat="1" ht="30" customHeight="1" x14ac:dyDescent="0.25">
      <c r="A129" s="1">
        <v>5451090</v>
      </c>
      <c r="B129" s="2">
        <v>88000</v>
      </c>
      <c r="G129" s="2">
        <v>8609487</v>
      </c>
      <c r="H129" s="2">
        <v>671901</v>
      </c>
      <c r="S129" s="2">
        <v>5391602</v>
      </c>
      <c r="T129" s="2">
        <v>6836185</v>
      </c>
      <c r="Y129">
        <v>5227172</v>
      </c>
      <c r="Z129">
        <v>0</v>
      </c>
      <c r="AB129" s="2">
        <v>5227172</v>
      </c>
      <c r="AC129" s="2">
        <v>0</v>
      </c>
      <c r="AE129" s="2">
        <v>4873800</v>
      </c>
      <c r="AF129" s="2">
        <v>650000</v>
      </c>
    </row>
    <row r="130" spans="1:32" s="2" customFormat="1" ht="30" customHeight="1" x14ac:dyDescent="0.25">
      <c r="A130" s="1">
        <v>5475959</v>
      </c>
      <c r="B130" s="2">
        <v>1600000</v>
      </c>
      <c r="G130" s="2">
        <v>8719331</v>
      </c>
      <c r="H130" s="2">
        <v>671531</v>
      </c>
      <c r="S130" s="2">
        <v>5393471</v>
      </c>
      <c r="T130" s="2">
        <v>2274439</v>
      </c>
      <c r="Y130" s="2">
        <v>5231429</v>
      </c>
      <c r="Z130" s="2">
        <v>0</v>
      </c>
      <c r="AB130" s="2">
        <v>5231429</v>
      </c>
      <c r="AC130" s="2">
        <v>0</v>
      </c>
      <c r="AE130" s="2">
        <v>2700736</v>
      </c>
      <c r="AF130" s="2">
        <v>350000</v>
      </c>
    </row>
    <row r="131" spans="1:32" s="2" customFormat="1" ht="30" customHeight="1" x14ac:dyDescent="0.25">
      <c r="A131" s="3">
        <v>5563434</v>
      </c>
      <c r="B131" s="2">
        <v>1958000</v>
      </c>
      <c r="G131" s="2">
        <v>8760544</v>
      </c>
      <c r="H131" s="2">
        <v>1350000</v>
      </c>
      <c r="S131" s="2">
        <v>5448456</v>
      </c>
      <c r="T131" s="2">
        <v>4943614</v>
      </c>
      <c r="Y131" s="2">
        <v>5235056</v>
      </c>
      <c r="Z131" s="2">
        <v>0</v>
      </c>
      <c r="AB131" s="2">
        <v>5235056</v>
      </c>
      <c r="AC131" s="2">
        <v>0</v>
      </c>
      <c r="AE131" s="2">
        <v>8598927</v>
      </c>
      <c r="AF131" s="2">
        <v>50000</v>
      </c>
    </row>
    <row r="132" spans="1:32" s="2" customFormat="1" ht="30" customHeight="1" x14ac:dyDescent="0.25">
      <c r="A132" s="1">
        <v>5713240</v>
      </c>
      <c r="B132" s="2">
        <v>2748000</v>
      </c>
      <c r="G132" s="2">
        <v>8788790</v>
      </c>
      <c r="H132" s="2">
        <v>3741967.11</v>
      </c>
      <c r="S132" s="2">
        <v>5451090</v>
      </c>
      <c r="T132" s="2">
        <v>82952</v>
      </c>
      <c r="Y132" s="2">
        <v>5285192</v>
      </c>
      <c r="Z132" s="2">
        <v>0</v>
      </c>
      <c r="AB132" s="2">
        <v>5285192</v>
      </c>
      <c r="AC132" s="2">
        <v>0</v>
      </c>
      <c r="AE132" s="2">
        <v>2088349</v>
      </c>
      <c r="AF132" s="2">
        <v>300000</v>
      </c>
    </row>
    <row r="133" spans="1:32" s="2" customFormat="1" ht="30" customHeight="1" x14ac:dyDescent="0.25">
      <c r="A133" s="1">
        <v>5741111</v>
      </c>
      <c r="B133" s="2">
        <v>2868000</v>
      </c>
      <c r="G133" s="2">
        <v>8791447</v>
      </c>
      <c r="H133" s="2">
        <v>145141</v>
      </c>
      <c r="S133" s="2">
        <v>5475959</v>
      </c>
      <c r="T133" s="2">
        <v>1536152</v>
      </c>
      <c r="Y133">
        <v>5293407</v>
      </c>
      <c r="Z133">
        <v>0</v>
      </c>
      <c r="AB133" s="2">
        <v>5293407</v>
      </c>
      <c r="AC133" s="2">
        <v>0</v>
      </c>
      <c r="AE133" s="2">
        <v>3886672</v>
      </c>
      <c r="AF133" s="2">
        <v>650000</v>
      </c>
    </row>
    <row r="134" spans="1:32" s="2" customFormat="1" ht="30" customHeight="1" x14ac:dyDescent="0.25">
      <c r="A134" s="1">
        <v>5773192</v>
      </c>
      <c r="B134" s="2">
        <v>2599000</v>
      </c>
      <c r="G134" s="2">
        <v>8900016</v>
      </c>
      <c r="H134" s="2">
        <v>1469000</v>
      </c>
      <c r="S134" s="2">
        <v>5563434</v>
      </c>
      <c r="T134" s="2">
        <v>1897088</v>
      </c>
      <c r="Y134" s="2">
        <v>5293571</v>
      </c>
      <c r="Z134" s="2">
        <v>0</v>
      </c>
      <c r="AB134" s="2">
        <v>5293571</v>
      </c>
      <c r="AC134" s="2">
        <v>0</v>
      </c>
      <c r="AE134" s="2">
        <v>7777619</v>
      </c>
      <c r="AF134" s="2">
        <v>200000</v>
      </c>
    </row>
    <row r="135" spans="1:32" s="2" customFormat="1" ht="30" customHeight="1" x14ac:dyDescent="0.25">
      <c r="A135" s="1">
        <v>5792926</v>
      </c>
      <c r="B135" s="2">
        <v>856000</v>
      </c>
      <c r="G135" s="2">
        <v>8935632</v>
      </c>
      <c r="H135" s="2">
        <v>246346</v>
      </c>
      <c r="S135" s="2">
        <v>5713240</v>
      </c>
      <c r="T135" s="2">
        <v>2820375</v>
      </c>
      <c r="Y135" s="2">
        <v>5312119</v>
      </c>
      <c r="Z135" s="2">
        <v>0</v>
      </c>
      <c r="AB135" s="2">
        <v>5312119</v>
      </c>
      <c r="AC135" s="2">
        <v>0</v>
      </c>
      <c r="AE135" s="2">
        <v>2838544</v>
      </c>
      <c r="AF135" s="2">
        <v>150000</v>
      </c>
    </row>
    <row r="136" spans="1:32" s="2" customFormat="1" ht="30" customHeight="1" x14ac:dyDescent="0.25">
      <c r="A136" s="3">
        <v>5793673</v>
      </c>
      <c r="B136" s="2">
        <v>1541000</v>
      </c>
      <c r="G136" s="2">
        <v>9076392</v>
      </c>
      <c r="H136" s="2">
        <v>548400</v>
      </c>
      <c r="S136" s="2">
        <v>5741111</v>
      </c>
      <c r="T136" s="2">
        <v>3097958</v>
      </c>
      <c r="Y136" s="2">
        <v>5362299</v>
      </c>
      <c r="Z136" s="2">
        <v>0</v>
      </c>
      <c r="AB136" s="2">
        <v>5362299</v>
      </c>
      <c r="AC136" s="2">
        <v>0</v>
      </c>
      <c r="AE136" s="2">
        <v>2084701</v>
      </c>
      <c r="AF136" s="2">
        <v>650000</v>
      </c>
    </row>
    <row r="137" spans="1:32" s="2" customFormat="1" ht="30" customHeight="1" x14ac:dyDescent="0.25">
      <c r="A137" s="1">
        <v>5833201</v>
      </c>
      <c r="B137" s="2">
        <v>2603000</v>
      </c>
      <c r="G137" s="2">
        <v>9139875</v>
      </c>
      <c r="H137" s="2">
        <v>646947</v>
      </c>
      <c r="S137" s="2">
        <v>5773192</v>
      </c>
      <c r="T137" s="2">
        <v>2658311</v>
      </c>
      <c r="Y137" s="2">
        <v>5391602</v>
      </c>
      <c r="Z137" s="2">
        <v>0</v>
      </c>
      <c r="AB137" s="2">
        <v>5391602</v>
      </c>
      <c r="AC137" s="2">
        <v>0</v>
      </c>
      <c r="AE137" s="2">
        <v>1129034</v>
      </c>
      <c r="AF137" s="2">
        <v>500000</v>
      </c>
    </row>
    <row r="138" spans="1:32" s="2" customFormat="1" ht="30" customHeight="1" x14ac:dyDescent="0.25">
      <c r="A138" s="1">
        <v>5861633</v>
      </c>
      <c r="B138" s="2">
        <v>586000</v>
      </c>
      <c r="G138" s="2">
        <v>9220832</v>
      </c>
      <c r="H138" s="2">
        <v>656640</v>
      </c>
      <c r="S138" s="2">
        <v>5792926</v>
      </c>
      <c r="T138" s="2">
        <v>843458</v>
      </c>
      <c r="Y138" s="2">
        <v>5393471</v>
      </c>
      <c r="Z138" s="2">
        <v>469871</v>
      </c>
      <c r="AB138" s="2">
        <v>5393471</v>
      </c>
      <c r="AC138" s="2">
        <v>0</v>
      </c>
      <c r="AE138" s="2">
        <v>8227630</v>
      </c>
      <c r="AF138" s="2">
        <v>250000</v>
      </c>
    </row>
    <row r="139" spans="1:32" s="2" customFormat="1" ht="30" customHeight="1" x14ac:dyDescent="0.25">
      <c r="A139" s="1">
        <v>5918012</v>
      </c>
      <c r="B139" s="2">
        <v>2294000</v>
      </c>
      <c r="G139" s="2">
        <v>9266427</v>
      </c>
      <c r="H139" s="2">
        <v>2644000</v>
      </c>
      <c r="S139" s="2">
        <v>5793673</v>
      </c>
      <c r="T139" s="2">
        <v>2147541</v>
      </c>
      <c r="Y139" s="2">
        <v>5451090</v>
      </c>
      <c r="Z139" s="2">
        <v>0</v>
      </c>
      <c r="AB139" s="2">
        <v>5451090</v>
      </c>
      <c r="AC139" s="2">
        <v>0</v>
      </c>
      <c r="AE139" s="2">
        <v>2587147</v>
      </c>
      <c r="AF139" s="2">
        <v>50000</v>
      </c>
    </row>
    <row r="140" spans="1:32" s="2" customFormat="1" ht="30" customHeight="1" x14ac:dyDescent="0.25">
      <c r="A140" s="1">
        <v>5957695</v>
      </c>
      <c r="B140" s="2">
        <v>1167000</v>
      </c>
      <c r="G140" s="2">
        <v>9274680</v>
      </c>
      <c r="H140" s="2">
        <v>156600</v>
      </c>
      <c r="S140" s="2">
        <v>5833201</v>
      </c>
      <c r="T140" s="2">
        <v>1645219</v>
      </c>
      <c r="Y140" s="2">
        <v>5475959</v>
      </c>
      <c r="Z140" s="2">
        <v>0</v>
      </c>
      <c r="AB140" s="2">
        <v>5475959</v>
      </c>
      <c r="AC140" s="2">
        <v>0</v>
      </c>
      <c r="AE140" s="2">
        <v>2552651</v>
      </c>
      <c r="AF140" s="2">
        <v>150000</v>
      </c>
    </row>
    <row r="141" spans="1:32" s="2" customFormat="1" ht="30" customHeight="1" x14ac:dyDescent="0.25">
      <c r="A141" s="1">
        <v>5968921</v>
      </c>
      <c r="B141" s="2">
        <v>805000</v>
      </c>
      <c r="G141" s="2">
        <v>9313088</v>
      </c>
      <c r="H141" s="2">
        <v>49000</v>
      </c>
      <c r="S141" s="2">
        <v>5861633</v>
      </c>
      <c r="T141" s="2">
        <v>843901</v>
      </c>
      <c r="Y141" s="2">
        <v>5563434</v>
      </c>
      <c r="Z141" s="2">
        <v>0</v>
      </c>
      <c r="AB141" s="2">
        <v>5563434</v>
      </c>
      <c r="AC141" s="2">
        <v>0</v>
      </c>
      <c r="AE141" s="2">
        <v>2574699</v>
      </c>
      <c r="AF141" s="2">
        <v>250000</v>
      </c>
    </row>
    <row r="142" spans="1:32" s="2" customFormat="1" ht="30" customHeight="1" x14ac:dyDescent="0.25">
      <c r="A142" s="1">
        <v>6191395</v>
      </c>
      <c r="B142" s="2">
        <v>1704000</v>
      </c>
      <c r="G142" s="2">
        <v>9314906</v>
      </c>
      <c r="H142" s="2">
        <v>248886</v>
      </c>
      <c r="S142" s="2">
        <v>5918012</v>
      </c>
      <c r="T142" s="2">
        <v>1884628</v>
      </c>
      <c r="Y142" s="2">
        <v>5713240</v>
      </c>
      <c r="Z142" s="2">
        <v>0</v>
      </c>
      <c r="AB142" s="2">
        <v>5713240</v>
      </c>
      <c r="AC142" s="2">
        <v>0</v>
      </c>
      <c r="AE142" s="2">
        <v>7207666</v>
      </c>
      <c r="AF142" s="2">
        <v>100000</v>
      </c>
    </row>
    <row r="143" spans="1:32" s="2" customFormat="1" ht="30" customHeight="1" x14ac:dyDescent="0.25">
      <c r="A143" s="1">
        <v>6224406</v>
      </c>
      <c r="B143" s="2">
        <v>1977000</v>
      </c>
      <c r="G143" s="2">
        <v>9349276</v>
      </c>
      <c r="H143" s="2">
        <v>749326</v>
      </c>
      <c r="S143" s="2">
        <v>5957695</v>
      </c>
      <c r="T143" s="2">
        <v>977730</v>
      </c>
      <c r="Y143" s="2">
        <v>5741111</v>
      </c>
      <c r="Z143" s="2">
        <v>0</v>
      </c>
      <c r="AB143" s="2">
        <v>5741111</v>
      </c>
      <c r="AC143" s="2">
        <v>0</v>
      </c>
      <c r="AE143" s="2">
        <v>2928724</v>
      </c>
      <c r="AF143" s="2">
        <v>350000</v>
      </c>
    </row>
    <row r="144" spans="1:32" s="2" customFormat="1" ht="30" customHeight="1" x14ac:dyDescent="0.25">
      <c r="A144" s="3">
        <v>6265472</v>
      </c>
      <c r="B144" s="2">
        <v>1958000</v>
      </c>
      <c r="G144" s="2">
        <v>9450071</v>
      </c>
      <c r="H144" s="2">
        <v>778185</v>
      </c>
      <c r="S144" s="2">
        <v>5968921</v>
      </c>
      <c r="T144" s="2">
        <v>803715</v>
      </c>
      <c r="Y144">
        <v>5773192</v>
      </c>
      <c r="Z144">
        <v>0</v>
      </c>
      <c r="AB144" s="2">
        <v>5773192</v>
      </c>
      <c r="AC144" s="2">
        <v>0</v>
      </c>
      <c r="AE144" s="2">
        <v>5957695</v>
      </c>
      <c r="AF144" s="2">
        <v>250000</v>
      </c>
    </row>
    <row r="145" spans="1:32" s="2" customFormat="1" ht="30" customHeight="1" x14ac:dyDescent="0.25">
      <c r="A145" s="1">
        <v>6266118</v>
      </c>
      <c r="B145" s="2">
        <v>1569000</v>
      </c>
      <c r="G145" s="2">
        <v>9450189</v>
      </c>
      <c r="H145" s="2">
        <v>150000</v>
      </c>
      <c r="S145" s="2">
        <v>6191395</v>
      </c>
      <c r="T145" s="2">
        <v>1536152</v>
      </c>
      <c r="Y145" s="2">
        <v>5792926</v>
      </c>
      <c r="Z145" s="2">
        <v>0</v>
      </c>
      <c r="AB145" s="2">
        <v>5792926</v>
      </c>
      <c r="AC145" s="2">
        <v>0</v>
      </c>
      <c r="AE145" s="2">
        <v>1220799</v>
      </c>
      <c r="AF145" s="2">
        <v>70000</v>
      </c>
    </row>
    <row r="146" spans="1:32" s="2" customFormat="1" ht="30" customHeight="1" x14ac:dyDescent="0.25">
      <c r="A146" s="1">
        <v>6374958</v>
      </c>
      <c r="B146" s="2">
        <v>983000</v>
      </c>
      <c r="G146" s="2">
        <v>9543067</v>
      </c>
      <c r="H146" s="2">
        <v>332614</v>
      </c>
      <c r="S146" s="2">
        <v>6224406</v>
      </c>
      <c r="T146" s="2">
        <v>2286563</v>
      </c>
      <c r="Y146" s="2">
        <v>5793673</v>
      </c>
      <c r="Z146" s="2">
        <v>0</v>
      </c>
      <c r="AB146" s="2">
        <v>5793673</v>
      </c>
      <c r="AC146" s="2">
        <v>0</v>
      </c>
      <c r="AE146" s="2">
        <v>1229581</v>
      </c>
      <c r="AF146" s="2">
        <v>0</v>
      </c>
    </row>
    <row r="147" spans="1:32" s="2" customFormat="1" ht="30" customHeight="1" x14ac:dyDescent="0.25">
      <c r="A147" s="3">
        <v>6492623</v>
      </c>
      <c r="B147" s="2">
        <v>1681000</v>
      </c>
      <c r="G147" s="2">
        <v>9603734</v>
      </c>
      <c r="H147" s="2">
        <v>402504</v>
      </c>
      <c r="S147" s="2">
        <v>6265472</v>
      </c>
      <c r="T147" s="2">
        <v>2142164</v>
      </c>
      <c r="Y147" s="2">
        <v>5833201</v>
      </c>
      <c r="Z147" s="2">
        <v>1224657</v>
      </c>
      <c r="AB147" s="2">
        <v>5833201</v>
      </c>
      <c r="AC147" s="2">
        <v>0</v>
      </c>
      <c r="AE147" s="2">
        <v>3775974</v>
      </c>
      <c r="AF147" s="2">
        <v>250000</v>
      </c>
    </row>
    <row r="148" spans="1:32" s="2" customFormat="1" ht="30" customHeight="1" x14ac:dyDescent="0.25">
      <c r="A148" s="1">
        <v>6552817</v>
      </c>
      <c r="B148" s="2">
        <v>1723000</v>
      </c>
      <c r="G148" s="2">
        <v>9653966</v>
      </c>
      <c r="H148" s="2">
        <v>984960</v>
      </c>
      <c r="S148" s="2">
        <v>6266118</v>
      </c>
      <c r="T148" s="2">
        <v>1330148</v>
      </c>
      <c r="Y148" s="2">
        <v>5861633</v>
      </c>
      <c r="Z148" s="2">
        <v>0</v>
      </c>
      <c r="AB148" s="2">
        <v>5861633</v>
      </c>
      <c r="AC148" s="2">
        <v>0</v>
      </c>
      <c r="AE148" s="2">
        <v>3801846</v>
      </c>
      <c r="AF148" s="2">
        <v>0</v>
      </c>
    </row>
    <row r="149" spans="1:32" s="2" customFormat="1" ht="30" customHeight="1" x14ac:dyDescent="0.25">
      <c r="A149" s="1">
        <v>6650186</v>
      </c>
      <c r="B149" s="2">
        <v>1693000</v>
      </c>
      <c r="G149" s="2">
        <v>9813481</v>
      </c>
      <c r="H149" s="2">
        <v>686618</v>
      </c>
      <c r="S149" s="2">
        <v>6374958</v>
      </c>
      <c r="T149" s="2">
        <v>940125</v>
      </c>
      <c r="Y149" s="2">
        <v>5918012</v>
      </c>
      <c r="Z149" s="2">
        <v>0</v>
      </c>
      <c r="AB149" s="2">
        <v>5918012</v>
      </c>
      <c r="AC149" s="2">
        <v>0</v>
      </c>
      <c r="AE149" s="2">
        <v>8306216</v>
      </c>
      <c r="AF149" s="2">
        <v>1100000</v>
      </c>
    </row>
    <row r="150" spans="1:32" s="2" customFormat="1" ht="30" customHeight="1" x14ac:dyDescent="0.25">
      <c r="A150" s="1">
        <v>6719009</v>
      </c>
      <c r="B150" s="2">
        <v>1271000</v>
      </c>
      <c r="G150" s="2">
        <v>9835515</v>
      </c>
      <c r="H150" s="2">
        <v>1740935</v>
      </c>
      <c r="S150" s="2">
        <v>6492623</v>
      </c>
      <c r="T150" s="2">
        <v>2577049</v>
      </c>
      <c r="Y150" s="2">
        <v>5957695</v>
      </c>
      <c r="Z150" s="2">
        <v>0</v>
      </c>
      <c r="AB150" s="2">
        <v>5957695</v>
      </c>
      <c r="AC150" s="2">
        <v>0</v>
      </c>
      <c r="AE150" s="2">
        <v>1020591</v>
      </c>
      <c r="AF150" s="2">
        <v>350000</v>
      </c>
    </row>
    <row r="151" spans="1:32" s="2" customFormat="1" ht="30" customHeight="1" x14ac:dyDescent="0.25">
      <c r="A151" s="1">
        <v>6722018</v>
      </c>
      <c r="B151" s="2">
        <v>10577000</v>
      </c>
      <c r="G151" s="2">
        <v>9860755</v>
      </c>
      <c r="H151" s="2">
        <v>30000</v>
      </c>
      <c r="S151" s="2">
        <v>6552817</v>
      </c>
      <c r="T151" s="2">
        <v>2198234</v>
      </c>
      <c r="Y151">
        <v>5968921</v>
      </c>
      <c r="Z151">
        <v>0</v>
      </c>
      <c r="AB151" s="2">
        <v>5968921</v>
      </c>
      <c r="AC151" s="2">
        <v>0</v>
      </c>
      <c r="AE151" s="2">
        <v>1303151</v>
      </c>
      <c r="AF151" s="2">
        <v>50000</v>
      </c>
    </row>
    <row r="152" spans="1:32" s="2" customFormat="1" ht="30" customHeight="1" x14ac:dyDescent="0.25">
      <c r="A152" s="1">
        <v>6732891</v>
      </c>
      <c r="B152" s="2">
        <v>2147000</v>
      </c>
      <c r="G152" s="2">
        <v>9958898</v>
      </c>
      <c r="H152" s="2">
        <v>574560</v>
      </c>
      <c r="S152" s="2">
        <v>6650186</v>
      </c>
      <c r="T152" s="2">
        <v>1493140</v>
      </c>
      <c r="Y152" s="2">
        <v>6191395</v>
      </c>
      <c r="Z152" s="2">
        <v>0</v>
      </c>
      <c r="AB152" s="2">
        <v>6191395</v>
      </c>
      <c r="AC152" s="2">
        <v>0</v>
      </c>
      <c r="AE152" s="2">
        <v>1420566</v>
      </c>
      <c r="AF152" s="2">
        <v>400000</v>
      </c>
    </row>
    <row r="153" spans="1:32" s="2" customFormat="1" ht="30" customHeight="1" x14ac:dyDescent="0.25">
      <c r="A153" s="1">
        <v>6769479</v>
      </c>
      <c r="B153" s="2">
        <v>1400000</v>
      </c>
      <c r="S153" s="2">
        <v>6719009</v>
      </c>
      <c r="T153" s="2">
        <v>2488567</v>
      </c>
      <c r="Y153" s="2">
        <v>6224406</v>
      </c>
      <c r="Z153" s="2">
        <v>0</v>
      </c>
      <c r="AB153" s="2">
        <v>6224406</v>
      </c>
      <c r="AC153" s="2">
        <v>0</v>
      </c>
      <c r="AE153" s="2">
        <v>1775589</v>
      </c>
      <c r="AF153" s="2">
        <v>550000</v>
      </c>
    </row>
    <row r="154" spans="1:32" s="2" customFormat="1" ht="30" customHeight="1" x14ac:dyDescent="0.25">
      <c r="A154" s="1">
        <v>6790491</v>
      </c>
      <c r="B154" s="2">
        <v>1345000</v>
      </c>
      <c r="S154" s="2">
        <v>6722018</v>
      </c>
      <c r="T154" s="2">
        <v>13825370</v>
      </c>
      <c r="Y154" s="2">
        <v>6265472</v>
      </c>
      <c r="Z154" s="2">
        <v>0</v>
      </c>
      <c r="AB154">
        <v>6265472</v>
      </c>
      <c r="AC154">
        <v>0</v>
      </c>
      <c r="AE154" s="2">
        <v>2481915</v>
      </c>
      <c r="AF154" s="2">
        <v>450000</v>
      </c>
    </row>
    <row r="155" spans="1:32" s="2" customFormat="1" ht="30" customHeight="1" x14ac:dyDescent="0.25">
      <c r="A155" s="1">
        <v>6806376</v>
      </c>
      <c r="B155" s="2">
        <v>644000</v>
      </c>
      <c r="S155" s="2">
        <v>6732891</v>
      </c>
      <c r="T155" s="2">
        <v>2470133</v>
      </c>
      <c r="Y155" s="2">
        <v>6266118</v>
      </c>
      <c r="Z155" s="2">
        <v>692279.77</v>
      </c>
      <c r="AB155" s="2">
        <v>6266118</v>
      </c>
      <c r="AC155" s="2">
        <v>0</v>
      </c>
      <c r="AE155" s="2">
        <v>3822869</v>
      </c>
      <c r="AF155" s="2">
        <v>40000</v>
      </c>
    </row>
    <row r="156" spans="1:32" s="2" customFormat="1" ht="30" customHeight="1" x14ac:dyDescent="0.25">
      <c r="A156" s="1">
        <v>6836867</v>
      </c>
      <c r="B156" s="2">
        <v>1930000</v>
      </c>
      <c r="S156" s="2">
        <v>6769479</v>
      </c>
      <c r="T156" s="2">
        <v>1151890</v>
      </c>
      <c r="Y156" s="2">
        <v>6374958</v>
      </c>
      <c r="Z156" s="2">
        <v>61000</v>
      </c>
      <c r="AB156" s="2">
        <v>6374958</v>
      </c>
      <c r="AC156" s="2">
        <v>0</v>
      </c>
      <c r="AE156" s="2">
        <v>5918012</v>
      </c>
      <c r="AF156" s="2">
        <v>300000</v>
      </c>
    </row>
    <row r="157" spans="1:32" s="2" customFormat="1" ht="30" customHeight="1" x14ac:dyDescent="0.25">
      <c r="A157" s="1">
        <v>6907978</v>
      </c>
      <c r="B157" s="2">
        <v>957000</v>
      </c>
      <c r="S157" s="2">
        <v>6790491</v>
      </c>
      <c r="T157" s="2">
        <v>1659044</v>
      </c>
      <c r="Y157" s="2">
        <v>6492623</v>
      </c>
      <c r="Z157" s="2">
        <v>88222.1</v>
      </c>
      <c r="AB157" s="2">
        <v>6492623</v>
      </c>
      <c r="AC157" s="2">
        <v>0</v>
      </c>
      <c r="AE157" s="2">
        <v>9860755</v>
      </c>
      <c r="AF157" s="2">
        <v>100000</v>
      </c>
    </row>
    <row r="158" spans="1:32" s="2" customFormat="1" ht="30" customHeight="1" x14ac:dyDescent="0.25">
      <c r="A158" s="1">
        <v>6940940</v>
      </c>
      <c r="B158" s="2">
        <v>3332000</v>
      </c>
      <c r="S158" s="2">
        <v>6806376</v>
      </c>
      <c r="T158" s="2">
        <v>683158</v>
      </c>
      <c r="Y158" s="2">
        <v>6552817</v>
      </c>
      <c r="Z158" s="2">
        <v>0</v>
      </c>
      <c r="AB158" s="2">
        <v>6552817</v>
      </c>
      <c r="AC158" s="2">
        <v>650000</v>
      </c>
      <c r="AE158" s="2">
        <v>1201824</v>
      </c>
      <c r="AF158" s="2">
        <v>47591</v>
      </c>
    </row>
    <row r="159" spans="1:32" s="2" customFormat="1" ht="30" customHeight="1" x14ac:dyDescent="0.25">
      <c r="A159" s="1">
        <v>6967411</v>
      </c>
      <c r="B159" s="2">
        <v>5295000</v>
      </c>
      <c r="S159" s="2">
        <v>6836867</v>
      </c>
      <c r="T159" s="2">
        <v>2419440</v>
      </c>
      <c r="Y159">
        <v>6650186</v>
      </c>
      <c r="Z159">
        <v>0</v>
      </c>
      <c r="AB159" s="2">
        <v>6650186</v>
      </c>
      <c r="AC159" s="2">
        <v>0</v>
      </c>
      <c r="AE159" s="2">
        <v>6224406</v>
      </c>
      <c r="AF159" s="2">
        <v>180000</v>
      </c>
    </row>
    <row r="160" spans="1:32" s="2" customFormat="1" ht="30" customHeight="1" x14ac:dyDescent="0.25">
      <c r="A160" s="1">
        <v>7007714</v>
      </c>
      <c r="B160" s="2">
        <v>9290000</v>
      </c>
      <c r="S160" s="2">
        <v>6907978</v>
      </c>
      <c r="T160" s="2">
        <v>755787</v>
      </c>
      <c r="Y160" s="2">
        <v>6719009</v>
      </c>
      <c r="Z160" s="2">
        <v>0</v>
      </c>
      <c r="AB160" s="2">
        <v>6719009</v>
      </c>
      <c r="AC160" s="2">
        <v>0</v>
      </c>
      <c r="AE160" s="2">
        <v>7228496</v>
      </c>
      <c r="AF160" s="2">
        <v>0</v>
      </c>
    </row>
    <row r="161" spans="1:32" s="2" customFormat="1" ht="30" customHeight="1" x14ac:dyDescent="0.25">
      <c r="A161" s="1">
        <v>7044506</v>
      </c>
      <c r="B161" s="2">
        <v>6158000</v>
      </c>
      <c r="S161" s="2">
        <v>6940940</v>
      </c>
      <c r="T161" s="2">
        <v>3239745</v>
      </c>
      <c r="Y161" s="2">
        <v>6722018</v>
      </c>
      <c r="Z161" s="2">
        <v>0</v>
      </c>
      <c r="AB161" s="2">
        <v>6722018</v>
      </c>
      <c r="AC161" s="2">
        <v>0</v>
      </c>
      <c r="AE161" s="2">
        <v>3702507</v>
      </c>
      <c r="AF161" s="2">
        <v>227517</v>
      </c>
    </row>
    <row r="162" spans="1:32" s="2" customFormat="1" ht="30" customHeight="1" x14ac:dyDescent="0.25">
      <c r="A162" s="1">
        <v>7080749</v>
      </c>
      <c r="B162" s="2">
        <v>1852000</v>
      </c>
      <c r="S162" s="2">
        <v>6967411</v>
      </c>
      <c r="T162" s="2">
        <v>6424742</v>
      </c>
      <c r="Y162" s="2">
        <v>6732891</v>
      </c>
      <c r="Z162" s="2">
        <v>0</v>
      </c>
      <c r="AB162" s="2">
        <v>6732891</v>
      </c>
      <c r="AC162" s="2">
        <v>0</v>
      </c>
      <c r="AE162" s="2">
        <v>3682159</v>
      </c>
      <c r="AF162" s="2">
        <v>164759</v>
      </c>
    </row>
    <row r="163" spans="1:32" s="2" customFormat="1" ht="30" customHeight="1" x14ac:dyDescent="0.25">
      <c r="A163" s="1">
        <v>7135154</v>
      </c>
      <c r="B163" s="2">
        <v>2506000</v>
      </c>
      <c r="S163" s="2">
        <v>7007714</v>
      </c>
      <c r="T163" s="2">
        <v>8934641</v>
      </c>
      <c r="Y163" s="2">
        <v>6769479</v>
      </c>
      <c r="Z163" s="2">
        <v>0</v>
      </c>
      <c r="AB163" s="2">
        <v>6769479</v>
      </c>
      <c r="AC163" s="2">
        <v>0</v>
      </c>
      <c r="AE163" s="2">
        <v>4501907</v>
      </c>
      <c r="AF163" s="2">
        <v>96922</v>
      </c>
    </row>
    <row r="164" spans="1:32" s="2" customFormat="1" ht="30" customHeight="1" x14ac:dyDescent="0.25">
      <c r="A164" s="3">
        <v>7143232</v>
      </c>
      <c r="B164" s="2">
        <v>3271000</v>
      </c>
      <c r="S164" s="2">
        <v>7044506</v>
      </c>
      <c r="T164" s="2">
        <v>6751389</v>
      </c>
      <c r="Y164" s="2">
        <v>6790491</v>
      </c>
      <c r="Z164" s="2">
        <v>0</v>
      </c>
      <c r="AB164" s="2">
        <v>6790491</v>
      </c>
      <c r="AC164" s="2">
        <v>0</v>
      </c>
      <c r="AE164" s="2">
        <v>3910140</v>
      </c>
      <c r="AF164" s="2">
        <v>700000</v>
      </c>
    </row>
    <row r="165" spans="1:32" s="2" customFormat="1" ht="30" customHeight="1" x14ac:dyDescent="0.25">
      <c r="A165" s="1">
        <v>7177985</v>
      </c>
      <c r="B165" s="2">
        <v>772000</v>
      </c>
      <c r="S165" s="2">
        <v>7080749</v>
      </c>
      <c r="T165" s="2">
        <v>1534078</v>
      </c>
      <c r="Y165" s="2">
        <v>6806376</v>
      </c>
      <c r="Z165" s="2">
        <v>0</v>
      </c>
      <c r="AB165" s="2">
        <v>6806376</v>
      </c>
      <c r="AC165" s="2">
        <v>0</v>
      </c>
      <c r="AE165" s="2">
        <v>5063729</v>
      </c>
      <c r="AF165" s="2">
        <v>150000</v>
      </c>
    </row>
    <row r="166" spans="1:32" s="2" customFormat="1" ht="30" customHeight="1" x14ac:dyDescent="0.25">
      <c r="A166" s="1">
        <v>7207666</v>
      </c>
      <c r="B166" s="2">
        <v>636000</v>
      </c>
      <c r="S166" s="2">
        <v>7135154</v>
      </c>
      <c r="T166" s="2">
        <v>3135410</v>
      </c>
      <c r="Y166" s="2">
        <v>6836867</v>
      </c>
      <c r="Z166" s="2">
        <v>0</v>
      </c>
      <c r="AB166" s="2">
        <v>6836867</v>
      </c>
      <c r="AC166" s="2">
        <v>0</v>
      </c>
      <c r="AE166" s="2">
        <v>6374958</v>
      </c>
      <c r="AF166" s="2">
        <v>250000</v>
      </c>
    </row>
    <row r="167" spans="1:32" s="2" customFormat="1" ht="30" customHeight="1" x14ac:dyDescent="0.25">
      <c r="A167" s="1">
        <v>7228496</v>
      </c>
      <c r="B167" s="2">
        <v>625000</v>
      </c>
      <c r="S167" s="2">
        <v>7143232</v>
      </c>
      <c r="T167" s="2">
        <v>4938485</v>
      </c>
      <c r="Y167" s="2">
        <v>6907978</v>
      </c>
      <c r="Z167" s="2">
        <v>0</v>
      </c>
      <c r="AB167" s="2">
        <v>6907978</v>
      </c>
      <c r="AC167" s="2">
        <v>0</v>
      </c>
      <c r="AE167" s="2">
        <v>8054292</v>
      </c>
      <c r="AF167" s="2">
        <v>150000</v>
      </c>
    </row>
    <row r="168" spans="1:32" s="2" customFormat="1" ht="30" customHeight="1" x14ac:dyDescent="0.25">
      <c r="A168" s="1">
        <v>7253089</v>
      </c>
      <c r="B168" s="2">
        <v>1449000</v>
      </c>
      <c r="S168" s="2">
        <v>7177985</v>
      </c>
      <c r="T168" s="2">
        <v>1062941</v>
      </c>
      <c r="Y168" s="2">
        <v>6940940</v>
      </c>
      <c r="Z168" s="2">
        <v>0</v>
      </c>
      <c r="AB168" s="2">
        <v>6940940</v>
      </c>
      <c r="AC168" s="2">
        <v>0</v>
      </c>
      <c r="AE168" s="2">
        <v>8791447</v>
      </c>
      <c r="AF168" s="2">
        <v>150000</v>
      </c>
    </row>
    <row r="169" spans="1:32" s="2" customFormat="1" ht="30" customHeight="1" x14ac:dyDescent="0.25">
      <c r="A169" s="1">
        <v>7326055</v>
      </c>
      <c r="B169" s="2">
        <v>6325000</v>
      </c>
      <c r="S169" s="2">
        <v>7207666</v>
      </c>
      <c r="T169" s="2">
        <v>608999</v>
      </c>
      <c r="Y169" s="2">
        <v>6967411</v>
      </c>
      <c r="Z169" s="2">
        <v>0</v>
      </c>
      <c r="AB169" s="2">
        <v>6967411</v>
      </c>
      <c r="AC169" s="2">
        <v>0</v>
      </c>
      <c r="AE169" s="2">
        <v>7177985</v>
      </c>
      <c r="AF169" s="2">
        <v>200000</v>
      </c>
    </row>
    <row r="170" spans="1:32" s="2" customFormat="1" ht="30" customHeight="1" x14ac:dyDescent="0.25">
      <c r="A170" s="1">
        <v>7356784</v>
      </c>
      <c r="B170" s="2">
        <v>1238000</v>
      </c>
      <c r="S170" s="2">
        <v>7228496</v>
      </c>
      <c r="T170" s="2">
        <v>1945153</v>
      </c>
      <c r="Y170" s="2">
        <v>7007714</v>
      </c>
      <c r="Z170" s="2">
        <v>1703761.09</v>
      </c>
      <c r="AB170" s="2">
        <v>7007714</v>
      </c>
      <c r="AC170" s="2">
        <v>0</v>
      </c>
      <c r="AE170" s="2">
        <v>1853485</v>
      </c>
      <c r="AF170" s="2">
        <v>50000</v>
      </c>
    </row>
    <row r="171" spans="1:32" s="2" customFormat="1" ht="30" customHeight="1" x14ac:dyDescent="0.25">
      <c r="A171" s="3">
        <v>7471836</v>
      </c>
      <c r="B171" s="2">
        <v>2036000</v>
      </c>
      <c r="S171" s="2">
        <v>7253089</v>
      </c>
      <c r="T171" s="2">
        <v>2195469</v>
      </c>
      <c r="Y171" s="2">
        <v>7044506</v>
      </c>
      <c r="Z171" s="2">
        <v>0</v>
      </c>
      <c r="AB171">
        <v>7044506</v>
      </c>
      <c r="AC171">
        <v>0</v>
      </c>
      <c r="AE171" s="2">
        <v>3415850</v>
      </c>
      <c r="AF171" s="2">
        <v>100000</v>
      </c>
    </row>
    <row r="172" spans="1:32" s="2" customFormat="1" ht="30" customHeight="1" x14ac:dyDescent="0.25">
      <c r="A172" s="1">
        <v>7555345</v>
      </c>
      <c r="B172" s="2">
        <v>551000</v>
      </c>
      <c r="S172" s="2">
        <v>7356784</v>
      </c>
      <c r="T172" s="2">
        <v>1244283</v>
      </c>
      <c r="Y172" s="2">
        <v>7080749</v>
      </c>
      <c r="Z172" s="2">
        <v>0</v>
      </c>
      <c r="AB172" s="2">
        <v>7080749</v>
      </c>
      <c r="AC172" s="2">
        <v>0</v>
      </c>
      <c r="AE172" s="2">
        <v>3005927</v>
      </c>
      <c r="AF172" s="2">
        <v>50000</v>
      </c>
    </row>
    <row r="173" spans="1:32" s="2" customFormat="1" ht="30" customHeight="1" x14ac:dyDescent="0.25">
      <c r="A173" s="1">
        <v>7559709</v>
      </c>
      <c r="B173" s="2">
        <v>5832000</v>
      </c>
      <c r="S173" s="2">
        <v>7471836</v>
      </c>
      <c r="T173" s="2">
        <v>2147541</v>
      </c>
      <c r="Y173" s="2">
        <v>7135154</v>
      </c>
      <c r="Z173" s="2">
        <v>0</v>
      </c>
      <c r="AB173" s="2">
        <v>7135154</v>
      </c>
      <c r="AC173" s="2">
        <v>0</v>
      </c>
      <c r="AE173" s="2">
        <v>3977219</v>
      </c>
      <c r="AF173" s="2">
        <v>50000</v>
      </c>
    </row>
    <row r="174" spans="1:32" s="2" customFormat="1" ht="30" customHeight="1" x14ac:dyDescent="0.25">
      <c r="A174" s="1">
        <v>7663161</v>
      </c>
      <c r="B174" s="2">
        <v>2391000</v>
      </c>
      <c r="S174" s="2">
        <v>7555345</v>
      </c>
      <c r="T174" s="2">
        <v>587578</v>
      </c>
      <c r="Y174">
        <v>7143232</v>
      </c>
      <c r="Z174">
        <v>0</v>
      </c>
      <c r="AB174" s="2">
        <v>7143232</v>
      </c>
      <c r="AC174" s="2">
        <v>0</v>
      </c>
      <c r="AE174" s="2">
        <v>2584331</v>
      </c>
      <c r="AF174" s="2">
        <v>400000</v>
      </c>
    </row>
    <row r="175" spans="1:32" s="2" customFormat="1" ht="30" customHeight="1" x14ac:dyDescent="0.25">
      <c r="A175" s="1">
        <v>7665554</v>
      </c>
      <c r="B175" s="2">
        <v>1110000</v>
      </c>
      <c r="S175" s="2">
        <v>7559709</v>
      </c>
      <c r="T175" s="2">
        <v>7301639</v>
      </c>
      <c r="Y175" s="2">
        <v>7177985</v>
      </c>
      <c r="Z175" s="2">
        <v>0</v>
      </c>
      <c r="AB175" s="2">
        <v>7177985</v>
      </c>
      <c r="AC175" s="2">
        <v>0</v>
      </c>
      <c r="AE175" s="2">
        <v>7759833</v>
      </c>
      <c r="AF175" s="2">
        <v>193844</v>
      </c>
    </row>
    <row r="176" spans="1:32" s="2" customFormat="1" ht="30" customHeight="1" x14ac:dyDescent="0.25">
      <c r="A176" s="1">
        <v>7734736</v>
      </c>
      <c r="B176" s="2">
        <v>2485000</v>
      </c>
      <c r="S176" s="2">
        <v>7663161</v>
      </c>
      <c r="T176" s="2">
        <v>2996265</v>
      </c>
      <c r="Y176" s="2">
        <v>7207666</v>
      </c>
      <c r="Z176" s="2">
        <v>0</v>
      </c>
      <c r="AB176" s="2">
        <v>7207666</v>
      </c>
      <c r="AC176" s="2">
        <v>0</v>
      </c>
      <c r="AE176" s="2">
        <v>2572767</v>
      </c>
      <c r="AF176" s="2">
        <v>484611</v>
      </c>
    </row>
    <row r="177" spans="1:32" s="2" customFormat="1" ht="30" customHeight="1" x14ac:dyDescent="0.25">
      <c r="A177" s="1">
        <v>7759833</v>
      </c>
      <c r="B177" s="2">
        <v>17796000</v>
      </c>
      <c r="S177" s="2">
        <v>7665554</v>
      </c>
      <c r="T177" s="2">
        <v>1152114</v>
      </c>
      <c r="Y177" s="2">
        <v>7228496</v>
      </c>
      <c r="Z177" s="2">
        <v>0</v>
      </c>
      <c r="AB177" s="2">
        <v>7228496</v>
      </c>
      <c r="AC177" s="2">
        <v>0</v>
      </c>
      <c r="AE177" s="2">
        <v>6967411</v>
      </c>
      <c r="AF177" s="2">
        <v>484611</v>
      </c>
    </row>
    <row r="178" spans="1:32" s="2" customFormat="1" ht="30" customHeight="1" x14ac:dyDescent="0.25">
      <c r="A178" s="1">
        <v>7777619</v>
      </c>
      <c r="B178" s="2">
        <v>799000</v>
      </c>
      <c r="S178" s="2">
        <v>7734736</v>
      </c>
      <c r="T178" s="2">
        <v>2744336</v>
      </c>
      <c r="Y178">
        <v>7253089</v>
      </c>
      <c r="Z178">
        <v>0</v>
      </c>
      <c r="AB178" s="2">
        <v>7253089</v>
      </c>
      <c r="AC178" s="2">
        <v>0</v>
      </c>
      <c r="AE178" s="2">
        <v>6191395</v>
      </c>
      <c r="AF178" s="2">
        <v>300000</v>
      </c>
    </row>
    <row r="179" spans="1:32" s="2" customFormat="1" ht="30" customHeight="1" x14ac:dyDescent="0.25">
      <c r="A179" s="1">
        <v>7826049</v>
      </c>
      <c r="B179" s="2">
        <v>2318000</v>
      </c>
      <c r="S179" s="2">
        <v>7759833</v>
      </c>
      <c r="T179" s="2">
        <v>15070769</v>
      </c>
      <c r="Y179" s="2">
        <v>7326055</v>
      </c>
      <c r="Z179" s="2">
        <v>2060694</v>
      </c>
      <c r="AB179" s="2">
        <v>7326055</v>
      </c>
      <c r="AC179" s="2">
        <v>0</v>
      </c>
      <c r="AE179" s="2">
        <v>5475959</v>
      </c>
      <c r="AF179" s="2">
        <v>100000</v>
      </c>
    </row>
    <row r="180" spans="1:32" s="2" customFormat="1" ht="30" customHeight="1" x14ac:dyDescent="0.25">
      <c r="A180" s="1">
        <v>7885329</v>
      </c>
      <c r="B180" s="2">
        <v>1751000</v>
      </c>
      <c r="S180" s="2">
        <v>7777619</v>
      </c>
      <c r="T180" s="2">
        <v>960095</v>
      </c>
      <c r="Y180" s="2">
        <v>7356784</v>
      </c>
      <c r="Z180" s="2">
        <v>0</v>
      </c>
      <c r="AB180" s="2">
        <v>7356784</v>
      </c>
      <c r="AC180" s="2">
        <v>0</v>
      </c>
      <c r="AE180" s="2">
        <v>7663161</v>
      </c>
      <c r="AF180" s="2">
        <v>600000</v>
      </c>
    </row>
    <row r="181" spans="1:32" s="2" customFormat="1" ht="30" customHeight="1" x14ac:dyDescent="0.25">
      <c r="A181" s="1">
        <v>7890129</v>
      </c>
      <c r="B181" s="2">
        <v>885000</v>
      </c>
      <c r="S181" s="2">
        <v>7826049</v>
      </c>
      <c r="T181" s="2">
        <v>2437413</v>
      </c>
      <c r="Y181" s="2">
        <v>7455227</v>
      </c>
      <c r="Z181" s="2">
        <v>0</v>
      </c>
      <c r="AB181" s="2">
        <v>7455227</v>
      </c>
      <c r="AC181" s="2">
        <v>0</v>
      </c>
      <c r="AE181" s="2">
        <v>1273599</v>
      </c>
      <c r="AF181" s="2">
        <v>350000</v>
      </c>
    </row>
    <row r="182" spans="1:32" s="2" customFormat="1" ht="30" customHeight="1" x14ac:dyDescent="0.25">
      <c r="A182" s="1">
        <v>7901485</v>
      </c>
      <c r="B182" s="2">
        <v>4049000</v>
      </c>
      <c r="S182" s="2">
        <v>7885329</v>
      </c>
      <c r="T182" s="2">
        <v>2090703</v>
      </c>
      <c r="Y182" s="2">
        <v>7471836</v>
      </c>
      <c r="Z182" s="2">
        <v>0</v>
      </c>
      <c r="AB182" s="2">
        <v>7471836</v>
      </c>
      <c r="AC182" s="2">
        <v>0</v>
      </c>
      <c r="AE182" s="2">
        <v>2049573</v>
      </c>
      <c r="AF182" s="2">
        <v>2150000</v>
      </c>
    </row>
    <row r="183" spans="1:32" s="2" customFormat="1" ht="30" customHeight="1" x14ac:dyDescent="0.25">
      <c r="A183" s="1">
        <v>8054292</v>
      </c>
      <c r="B183" s="2">
        <v>552000</v>
      </c>
      <c r="S183" s="2">
        <v>7890129</v>
      </c>
      <c r="T183" s="2">
        <v>813264</v>
      </c>
      <c r="Y183" s="2">
        <v>7472903</v>
      </c>
      <c r="Z183" s="2">
        <v>0</v>
      </c>
      <c r="AB183" s="2">
        <v>7472903</v>
      </c>
      <c r="AC183" s="2">
        <v>0</v>
      </c>
      <c r="AE183" s="2">
        <v>2930990</v>
      </c>
      <c r="AF183" s="2">
        <v>600000</v>
      </c>
    </row>
    <row r="184" spans="1:32" s="2" customFormat="1" ht="30" customHeight="1" x14ac:dyDescent="0.25">
      <c r="A184" s="1">
        <v>8170444</v>
      </c>
      <c r="B184" s="2">
        <v>433000</v>
      </c>
      <c r="S184" s="2">
        <v>7901485</v>
      </c>
      <c r="T184" s="2">
        <v>3840381</v>
      </c>
      <c r="Y184" s="2">
        <v>7555345</v>
      </c>
      <c r="Z184" s="2">
        <v>0</v>
      </c>
      <c r="AB184" s="2">
        <v>7555345</v>
      </c>
      <c r="AC184" s="2">
        <v>0</v>
      </c>
      <c r="AE184" s="2">
        <v>3912232</v>
      </c>
      <c r="AF184" s="2">
        <v>100000</v>
      </c>
    </row>
    <row r="185" spans="1:32" s="2" customFormat="1" ht="30" customHeight="1" x14ac:dyDescent="0.25">
      <c r="A185" s="3">
        <v>8208204</v>
      </c>
      <c r="B185" s="2">
        <v>3181000</v>
      </c>
      <c r="S185" s="2">
        <v>8054292</v>
      </c>
      <c r="T185" s="2">
        <v>497713</v>
      </c>
      <c r="Y185" s="2">
        <v>7559709</v>
      </c>
      <c r="Z185" s="2">
        <v>0</v>
      </c>
      <c r="AB185" s="2">
        <v>7559709</v>
      </c>
      <c r="AC185" s="2">
        <v>0</v>
      </c>
      <c r="AE185" s="2">
        <v>8466886</v>
      </c>
      <c r="AF185" s="2">
        <v>250000</v>
      </c>
    </row>
    <row r="186" spans="1:32" s="2" customFormat="1" ht="30" customHeight="1" x14ac:dyDescent="0.25">
      <c r="A186" s="1">
        <v>8227630</v>
      </c>
      <c r="B186" s="2">
        <v>734000</v>
      </c>
      <c r="S186" s="2">
        <v>8170444</v>
      </c>
      <c r="T186" s="2">
        <v>460846</v>
      </c>
      <c r="Y186" s="2">
        <v>7663161</v>
      </c>
      <c r="Z186" s="2">
        <v>0</v>
      </c>
      <c r="AB186" s="2">
        <v>7663161</v>
      </c>
      <c r="AC186" s="2">
        <v>0</v>
      </c>
      <c r="AE186" s="2">
        <v>5391602</v>
      </c>
      <c r="AF186" s="2">
        <v>581533</v>
      </c>
    </row>
    <row r="187" spans="1:32" s="2" customFormat="1" ht="30" customHeight="1" x14ac:dyDescent="0.25">
      <c r="A187" s="1">
        <v>8306216</v>
      </c>
      <c r="B187" s="2">
        <v>4049000</v>
      </c>
      <c r="S187" s="2">
        <v>8208204</v>
      </c>
      <c r="T187" s="2">
        <v>5794071</v>
      </c>
      <c r="Y187" s="2">
        <v>7665554</v>
      </c>
      <c r="Z187" s="2">
        <v>0</v>
      </c>
      <c r="AB187" s="2">
        <v>7665554</v>
      </c>
      <c r="AC187" s="2">
        <v>0</v>
      </c>
      <c r="AE187" s="2">
        <v>8419868</v>
      </c>
      <c r="AF187" s="2">
        <v>1350000</v>
      </c>
    </row>
    <row r="188" spans="1:32" s="2" customFormat="1" ht="30" customHeight="1" x14ac:dyDescent="0.25">
      <c r="A188" s="1">
        <v>8340162</v>
      </c>
      <c r="B188" s="2">
        <v>911000</v>
      </c>
      <c r="S188" s="2">
        <v>8227630</v>
      </c>
      <c r="T188" s="2">
        <v>1149718</v>
      </c>
      <c r="Y188" s="2">
        <v>7734736</v>
      </c>
      <c r="Z188" s="2">
        <v>0</v>
      </c>
      <c r="AB188" s="2">
        <v>7734736</v>
      </c>
      <c r="AC188" s="2">
        <v>0</v>
      </c>
      <c r="AE188" s="2">
        <v>1161877</v>
      </c>
      <c r="AF188" s="2">
        <v>1350000</v>
      </c>
    </row>
    <row r="189" spans="1:32" s="2" customFormat="1" ht="30" customHeight="1" x14ac:dyDescent="0.25">
      <c r="A189" s="1">
        <v>8396068</v>
      </c>
      <c r="B189" s="2">
        <v>4689000</v>
      </c>
      <c r="S189" s="2">
        <v>8306216</v>
      </c>
      <c r="T189" s="2">
        <v>3663626</v>
      </c>
      <c r="Y189" s="2">
        <v>7759833</v>
      </c>
      <c r="Z189" s="2">
        <v>3771734.19</v>
      </c>
      <c r="AB189" s="2">
        <v>7759833</v>
      </c>
      <c r="AC189" s="2">
        <v>0</v>
      </c>
      <c r="AE189" s="2">
        <v>1464519</v>
      </c>
      <c r="AF189" s="2">
        <v>250000</v>
      </c>
    </row>
    <row r="190" spans="1:32" s="2" customFormat="1" ht="30" customHeight="1" x14ac:dyDescent="0.25">
      <c r="A190" s="1">
        <v>8419868</v>
      </c>
      <c r="B190" s="2">
        <v>6698000</v>
      </c>
      <c r="S190" s="2">
        <v>8340162</v>
      </c>
      <c r="T190" s="2">
        <v>864682</v>
      </c>
      <c r="Y190" s="2">
        <v>7777619</v>
      </c>
      <c r="Z190" s="2">
        <v>0</v>
      </c>
      <c r="AB190" s="2">
        <v>7777619</v>
      </c>
      <c r="AC190" s="2">
        <v>0</v>
      </c>
      <c r="AE190" s="2">
        <v>9603734</v>
      </c>
      <c r="AF190" s="2">
        <v>700000</v>
      </c>
    </row>
    <row r="191" spans="1:32" s="2" customFormat="1" ht="30" customHeight="1" x14ac:dyDescent="0.25">
      <c r="A191" s="1">
        <v>8492814</v>
      </c>
      <c r="B191" s="2">
        <v>1289000</v>
      </c>
      <c r="S191" s="2">
        <v>8396068</v>
      </c>
      <c r="T191" s="2">
        <v>5722167</v>
      </c>
      <c r="Y191" s="2">
        <v>7826049</v>
      </c>
      <c r="Z191" s="2">
        <v>0</v>
      </c>
      <c r="AB191">
        <v>7826049</v>
      </c>
      <c r="AC191">
        <v>0</v>
      </c>
      <c r="AE191" s="2">
        <v>2527518</v>
      </c>
      <c r="AF191" s="2">
        <v>1400000</v>
      </c>
    </row>
    <row r="192" spans="1:32" s="2" customFormat="1" ht="30" customHeight="1" x14ac:dyDescent="0.25">
      <c r="A192" s="1">
        <v>8501960</v>
      </c>
      <c r="B192" s="2">
        <v>772000</v>
      </c>
      <c r="S192" s="2">
        <v>8419868</v>
      </c>
      <c r="T192" s="2">
        <v>6724506</v>
      </c>
      <c r="Y192" s="2">
        <v>7885329</v>
      </c>
      <c r="Z192" s="2">
        <v>0</v>
      </c>
      <c r="AB192" s="2">
        <v>7885329</v>
      </c>
      <c r="AC192" s="2">
        <v>0</v>
      </c>
      <c r="AE192" s="2">
        <v>9072226</v>
      </c>
      <c r="AF192" s="2">
        <v>250000</v>
      </c>
    </row>
    <row r="193" spans="1:32" s="2" customFormat="1" ht="30" customHeight="1" x14ac:dyDescent="0.25">
      <c r="A193" s="1">
        <v>8533092</v>
      </c>
      <c r="B193" s="2">
        <v>1653000</v>
      </c>
      <c r="S193" s="2">
        <v>8425917</v>
      </c>
      <c r="T193" s="2">
        <v>8302937</v>
      </c>
      <c r="Y193" s="2">
        <v>7890129</v>
      </c>
      <c r="Z193" s="2">
        <v>0</v>
      </c>
      <c r="AB193" s="2">
        <v>7890129</v>
      </c>
      <c r="AC193" s="2">
        <v>0</v>
      </c>
      <c r="AE193" s="2">
        <v>8533092</v>
      </c>
      <c r="AF193" s="2">
        <v>387688</v>
      </c>
    </row>
    <row r="194" spans="1:32" s="2" customFormat="1" ht="30" customHeight="1" x14ac:dyDescent="0.25">
      <c r="A194" s="1">
        <v>8588423</v>
      </c>
      <c r="B194" s="2">
        <v>5543000</v>
      </c>
      <c r="S194" s="2">
        <v>8466886</v>
      </c>
      <c r="T194" s="2">
        <v>829522</v>
      </c>
      <c r="Y194" s="2">
        <v>7901485</v>
      </c>
      <c r="Z194" s="2">
        <v>0</v>
      </c>
      <c r="AB194" s="2">
        <v>7901485</v>
      </c>
      <c r="AC194" s="2">
        <v>0</v>
      </c>
      <c r="AE194" s="2">
        <v>1760206</v>
      </c>
      <c r="AF194" s="2">
        <v>775377</v>
      </c>
    </row>
    <row r="195" spans="1:32" s="2" customFormat="1" ht="30" customHeight="1" x14ac:dyDescent="0.25">
      <c r="A195" s="1">
        <v>8598927</v>
      </c>
      <c r="B195" s="2">
        <v>495000</v>
      </c>
      <c r="S195" s="2">
        <v>8492814</v>
      </c>
      <c r="T195" s="2">
        <v>1244283</v>
      </c>
      <c r="Y195" s="2">
        <v>7923702</v>
      </c>
      <c r="Z195" s="2">
        <v>0</v>
      </c>
      <c r="AB195" s="2">
        <v>7923702</v>
      </c>
      <c r="AC195" s="2">
        <v>0</v>
      </c>
      <c r="AE195" s="2">
        <v>9964505</v>
      </c>
      <c r="AF195" s="2">
        <v>775377</v>
      </c>
    </row>
    <row r="196" spans="1:32" s="2" customFormat="1" ht="30" customHeight="1" x14ac:dyDescent="0.25">
      <c r="A196" s="1">
        <v>8609487</v>
      </c>
      <c r="B196" s="2">
        <v>7603000</v>
      </c>
      <c r="S196" s="2">
        <v>8501960</v>
      </c>
      <c r="T196" s="2">
        <v>696799</v>
      </c>
      <c r="Y196" s="2">
        <v>8054292</v>
      </c>
      <c r="Z196" s="2">
        <v>0</v>
      </c>
      <c r="AB196" s="2">
        <v>8054292</v>
      </c>
      <c r="AC196" s="2">
        <v>0</v>
      </c>
      <c r="AE196" s="2">
        <v>5792926</v>
      </c>
      <c r="AF196" s="2">
        <v>150000</v>
      </c>
    </row>
    <row r="197" spans="1:32" s="2" customFormat="1" ht="30" customHeight="1" x14ac:dyDescent="0.25">
      <c r="A197" s="1">
        <v>8696715</v>
      </c>
      <c r="B197" s="2">
        <v>2476000</v>
      </c>
      <c r="S197" s="2">
        <v>8533092</v>
      </c>
      <c r="T197" s="2">
        <v>1953986</v>
      </c>
      <c r="Y197" s="2">
        <v>8170444</v>
      </c>
      <c r="Z197" s="2">
        <v>465000</v>
      </c>
      <c r="AB197" s="2">
        <v>8170444</v>
      </c>
      <c r="AC197" s="2">
        <v>0</v>
      </c>
      <c r="AE197" s="2">
        <v>5091362</v>
      </c>
      <c r="AF197" s="2">
        <v>200000</v>
      </c>
    </row>
    <row r="198" spans="1:32" s="2" customFormat="1" ht="30" customHeight="1" x14ac:dyDescent="0.25">
      <c r="A198" s="1">
        <v>8719331</v>
      </c>
      <c r="B198" s="2">
        <v>6595000</v>
      </c>
      <c r="S198" s="2">
        <v>8588423</v>
      </c>
      <c r="T198" s="2">
        <v>5298136</v>
      </c>
      <c r="Y198" s="2">
        <v>8208204</v>
      </c>
      <c r="Z198" s="2">
        <v>0</v>
      </c>
      <c r="AB198" s="2">
        <v>8208204</v>
      </c>
      <c r="AC198" s="2">
        <v>0</v>
      </c>
      <c r="AE198" s="2">
        <v>9321887</v>
      </c>
      <c r="AF198" s="2">
        <v>581533</v>
      </c>
    </row>
    <row r="199" spans="1:32" s="2" customFormat="1" ht="30" customHeight="1" x14ac:dyDescent="0.25">
      <c r="A199" s="1">
        <v>8752756</v>
      </c>
      <c r="B199" s="2">
        <v>1073000</v>
      </c>
      <c r="S199" s="2">
        <v>8598927</v>
      </c>
      <c r="T199" s="2">
        <v>407080</v>
      </c>
      <c r="Y199" s="2">
        <v>8227630</v>
      </c>
      <c r="Z199" s="2">
        <v>0</v>
      </c>
      <c r="AB199" s="2">
        <v>8227630</v>
      </c>
      <c r="AC199" s="2">
        <v>0</v>
      </c>
      <c r="AE199" s="2">
        <v>3145588</v>
      </c>
      <c r="AF199" s="2">
        <v>193844</v>
      </c>
    </row>
    <row r="200" spans="1:32" s="2" customFormat="1" ht="30" customHeight="1" x14ac:dyDescent="0.25">
      <c r="A200" s="1">
        <v>8760544</v>
      </c>
      <c r="B200" s="2">
        <v>9180000</v>
      </c>
      <c r="S200" s="2">
        <v>8609487</v>
      </c>
      <c r="T200" s="2">
        <v>6987250</v>
      </c>
      <c r="Y200" s="2">
        <v>8306216</v>
      </c>
      <c r="Z200" s="2">
        <v>0</v>
      </c>
      <c r="AB200" s="2">
        <v>8306216</v>
      </c>
      <c r="AC200" s="2">
        <v>598000</v>
      </c>
      <c r="AE200" s="2">
        <v>6266118</v>
      </c>
      <c r="AF200" s="2">
        <v>300000</v>
      </c>
    </row>
    <row r="201" spans="1:32" s="2" customFormat="1" ht="30" customHeight="1" x14ac:dyDescent="0.25">
      <c r="A201" s="1">
        <v>8788790</v>
      </c>
      <c r="B201" s="2">
        <v>8307000</v>
      </c>
      <c r="S201" s="2">
        <v>8696715</v>
      </c>
      <c r="T201" s="2">
        <v>2571519</v>
      </c>
      <c r="Y201">
        <v>8340162</v>
      </c>
      <c r="Z201">
        <v>0</v>
      </c>
      <c r="AB201" s="2">
        <v>8340162</v>
      </c>
      <c r="AC201" s="2">
        <v>0</v>
      </c>
      <c r="AE201" s="2">
        <v>7007714</v>
      </c>
      <c r="AF201" s="2">
        <v>775377</v>
      </c>
    </row>
    <row r="202" spans="1:32" s="2" customFormat="1" ht="30" customHeight="1" x14ac:dyDescent="0.25">
      <c r="A202" s="1">
        <v>8791447</v>
      </c>
      <c r="B202" s="2">
        <v>600000</v>
      </c>
      <c r="S202">
        <v>8719331</v>
      </c>
      <c r="T202">
        <v>6636946</v>
      </c>
      <c r="Y202" s="2">
        <v>8384795</v>
      </c>
      <c r="Z202" s="2">
        <v>0</v>
      </c>
      <c r="AB202" s="2">
        <v>8384795</v>
      </c>
      <c r="AC202" s="2">
        <v>0</v>
      </c>
      <c r="AE202" s="2">
        <v>3802797</v>
      </c>
      <c r="AF202" s="2">
        <v>0</v>
      </c>
    </row>
    <row r="203" spans="1:32" s="2" customFormat="1" ht="30" customHeight="1" x14ac:dyDescent="0.25">
      <c r="A203" s="3">
        <v>8899363</v>
      </c>
      <c r="B203" s="2">
        <v>979000</v>
      </c>
      <c r="S203" s="2">
        <v>8752756</v>
      </c>
      <c r="T203" s="2">
        <v>1244283</v>
      </c>
      <c r="Y203" s="2">
        <v>8396068</v>
      </c>
      <c r="Z203" s="2">
        <v>0</v>
      </c>
      <c r="AB203" s="2">
        <v>8396068</v>
      </c>
      <c r="AC203" s="2">
        <v>0</v>
      </c>
      <c r="AE203" s="2">
        <v>1410170</v>
      </c>
      <c r="AF203" s="2">
        <v>1050000</v>
      </c>
    </row>
    <row r="204" spans="1:32" s="2" customFormat="1" ht="30" customHeight="1" x14ac:dyDescent="0.25">
      <c r="A204" s="1">
        <v>8900016</v>
      </c>
      <c r="B204" s="2">
        <v>32290000</v>
      </c>
      <c r="S204" s="2">
        <v>8760544</v>
      </c>
      <c r="T204" s="2">
        <v>9396715</v>
      </c>
      <c r="Y204" s="2">
        <v>8419868</v>
      </c>
      <c r="Z204" s="2">
        <v>0</v>
      </c>
      <c r="AB204" s="2">
        <v>8419868</v>
      </c>
      <c r="AC204" s="2">
        <v>0</v>
      </c>
      <c r="AE204" s="2">
        <v>6732891</v>
      </c>
      <c r="AF204" s="2">
        <v>100000</v>
      </c>
    </row>
    <row r="205" spans="1:32" s="2" customFormat="1" ht="30" customHeight="1" x14ac:dyDescent="0.25">
      <c r="A205" s="1">
        <v>8935632</v>
      </c>
      <c r="B205" s="2">
        <v>1238000</v>
      </c>
      <c r="S205" s="2">
        <v>8788790</v>
      </c>
      <c r="T205" s="2">
        <v>9862097</v>
      </c>
      <c r="Y205" s="2">
        <v>8466886</v>
      </c>
      <c r="Z205" s="2">
        <v>0</v>
      </c>
      <c r="AB205" s="2">
        <v>8466886</v>
      </c>
      <c r="AC205" s="2">
        <v>0</v>
      </c>
      <c r="AE205" s="2">
        <v>8170444</v>
      </c>
      <c r="AF205" s="2">
        <v>100000</v>
      </c>
    </row>
    <row r="206" spans="1:32" s="2" customFormat="1" ht="30" customHeight="1" x14ac:dyDescent="0.25">
      <c r="A206" s="1">
        <v>9072226</v>
      </c>
      <c r="B206" s="2">
        <v>1098000</v>
      </c>
      <c r="S206" s="2">
        <v>8791447</v>
      </c>
      <c r="T206" s="2">
        <v>497713</v>
      </c>
      <c r="Y206" s="2">
        <v>8492814</v>
      </c>
      <c r="Z206" s="2">
        <v>0</v>
      </c>
      <c r="AB206" s="2">
        <v>8492814</v>
      </c>
      <c r="AC206" s="2">
        <v>0</v>
      </c>
      <c r="AE206" s="2">
        <v>8788790</v>
      </c>
      <c r="AF206" s="2">
        <v>484611</v>
      </c>
    </row>
    <row r="207" spans="1:32" s="2" customFormat="1" ht="30" customHeight="1" x14ac:dyDescent="0.25">
      <c r="A207" s="1">
        <v>9076392</v>
      </c>
      <c r="B207" s="2">
        <v>7182000</v>
      </c>
      <c r="S207" s="2">
        <v>8899363</v>
      </c>
      <c r="T207" s="2">
        <v>1443983</v>
      </c>
      <c r="Y207" s="2">
        <v>8501960</v>
      </c>
      <c r="Z207" s="2">
        <v>0</v>
      </c>
      <c r="AB207" s="2">
        <v>8501960</v>
      </c>
      <c r="AC207" s="2">
        <v>0</v>
      </c>
      <c r="AE207" s="2">
        <v>2854766</v>
      </c>
      <c r="AF207" s="2">
        <v>50000</v>
      </c>
    </row>
    <row r="208" spans="1:32" s="2" customFormat="1" ht="30" customHeight="1" x14ac:dyDescent="0.25">
      <c r="A208" s="1">
        <v>9139875</v>
      </c>
      <c r="B208" s="2">
        <v>8321000</v>
      </c>
      <c r="S208" s="2">
        <v>8900016</v>
      </c>
      <c r="T208" s="2">
        <v>31360356</v>
      </c>
      <c r="Y208" s="2">
        <v>8533092</v>
      </c>
      <c r="Z208" s="2">
        <v>0</v>
      </c>
      <c r="AB208" s="2">
        <v>8533092</v>
      </c>
      <c r="AC208" s="2">
        <v>0</v>
      </c>
      <c r="AE208" s="2">
        <v>4493554</v>
      </c>
      <c r="AF208" s="2">
        <v>200000</v>
      </c>
    </row>
    <row r="209" spans="1:32" s="2" customFormat="1" ht="30" customHeight="1" x14ac:dyDescent="0.25">
      <c r="A209" s="1">
        <v>9220832</v>
      </c>
      <c r="B209" s="2">
        <v>2350000</v>
      </c>
      <c r="S209" s="2">
        <v>8935632</v>
      </c>
      <c r="T209" s="2">
        <v>1410188</v>
      </c>
      <c r="Y209" s="2">
        <v>8588423</v>
      </c>
      <c r="Z209" s="2">
        <v>6296231</v>
      </c>
      <c r="AB209" s="2">
        <v>8588423</v>
      </c>
      <c r="AC209" s="2">
        <v>0</v>
      </c>
      <c r="AE209" s="2">
        <v>8609487</v>
      </c>
      <c r="AF209" s="2">
        <v>484611</v>
      </c>
    </row>
    <row r="210" spans="1:32" s="2" customFormat="1" ht="30" customHeight="1" x14ac:dyDescent="0.25">
      <c r="A210" s="1">
        <v>9266427</v>
      </c>
      <c r="B210" s="2">
        <v>13231000</v>
      </c>
      <c r="S210" s="2">
        <v>9072226</v>
      </c>
      <c r="T210" s="2">
        <v>939434</v>
      </c>
      <c r="Y210" s="2">
        <v>8598927</v>
      </c>
      <c r="Z210" s="2">
        <v>0</v>
      </c>
      <c r="AB210" s="2">
        <v>8598927</v>
      </c>
      <c r="AC210" s="2">
        <v>0</v>
      </c>
      <c r="AE210" s="2">
        <v>3625295</v>
      </c>
      <c r="AF210" s="2">
        <v>484611</v>
      </c>
    </row>
    <row r="211" spans="1:32" s="2" customFormat="1" ht="30" customHeight="1" x14ac:dyDescent="0.25">
      <c r="A211" s="1">
        <v>9274680</v>
      </c>
      <c r="B211" s="2">
        <v>5320000</v>
      </c>
      <c r="S211" s="2">
        <v>9076392</v>
      </c>
      <c r="T211" s="2">
        <v>7423589</v>
      </c>
      <c r="Y211" s="2">
        <v>8609487</v>
      </c>
      <c r="Z211" s="2">
        <v>0</v>
      </c>
      <c r="AB211" s="2">
        <v>8609487</v>
      </c>
      <c r="AC211" s="2">
        <v>0</v>
      </c>
      <c r="AE211" s="2">
        <v>6836867</v>
      </c>
      <c r="AF211" s="2">
        <v>450000</v>
      </c>
    </row>
    <row r="212" spans="1:32" s="2" customFormat="1" ht="30" customHeight="1" x14ac:dyDescent="0.25">
      <c r="A212" s="1">
        <v>9313088</v>
      </c>
      <c r="B212" s="2">
        <v>715000</v>
      </c>
      <c r="S212" s="2">
        <v>9139875</v>
      </c>
      <c r="T212" s="2">
        <v>7212235</v>
      </c>
      <c r="Y212" s="2">
        <v>8696715</v>
      </c>
      <c r="Z212" s="2">
        <v>0</v>
      </c>
      <c r="AB212" s="2">
        <v>8696715</v>
      </c>
      <c r="AC212" s="2">
        <v>0</v>
      </c>
      <c r="AE212" s="2">
        <v>1280179</v>
      </c>
      <c r="AF212" s="2">
        <v>0</v>
      </c>
    </row>
    <row r="213" spans="1:32" s="2" customFormat="1" ht="30" customHeight="1" x14ac:dyDescent="0.25">
      <c r="A213" s="1">
        <v>9314906</v>
      </c>
      <c r="B213" s="2">
        <v>856000</v>
      </c>
      <c r="S213" s="2">
        <v>9220832</v>
      </c>
      <c r="T213" s="2">
        <v>543064</v>
      </c>
      <c r="Y213">
        <v>8719331</v>
      </c>
      <c r="Z213">
        <v>0</v>
      </c>
      <c r="AB213" s="2">
        <v>8719331</v>
      </c>
      <c r="AC213" s="2">
        <v>0</v>
      </c>
      <c r="AE213" s="2">
        <v>7901485</v>
      </c>
      <c r="AF213" s="2">
        <v>800000</v>
      </c>
    </row>
    <row r="214" spans="1:32" s="2" customFormat="1" ht="30" customHeight="1" x14ac:dyDescent="0.25">
      <c r="A214" s="1">
        <v>9321887</v>
      </c>
      <c r="B214" s="2">
        <v>2250000</v>
      </c>
      <c r="S214" s="2">
        <v>9266427</v>
      </c>
      <c r="T214" s="2">
        <v>12085217</v>
      </c>
      <c r="Y214" s="2">
        <v>8752756</v>
      </c>
      <c r="Z214" s="2">
        <v>0</v>
      </c>
      <c r="AB214" s="2">
        <v>8752756</v>
      </c>
      <c r="AC214" s="2">
        <v>0</v>
      </c>
      <c r="AE214" s="2">
        <v>2308616</v>
      </c>
      <c r="AF214" s="2">
        <v>969221</v>
      </c>
    </row>
    <row r="215" spans="1:32" s="2" customFormat="1" ht="30" customHeight="1" x14ac:dyDescent="0.25">
      <c r="A215" s="1">
        <v>9349276</v>
      </c>
      <c r="B215" s="2">
        <v>3531000</v>
      </c>
      <c r="S215">
        <v>9274680</v>
      </c>
      <c r="T215">
        <v>6441086</v>
      </c>
      <c r="Y215" s="2">
        <v>8760544</v>
      </c>
      <c r="Z215" s="2">
        <v>2261437</v>
      </c>
      <c r="AB215" s="2">
        <v>8760544</v>
      </c>
      <c r="AC215" s="2">
        <v>0</v>
      </c>
      <c r="AE215" s="2">
        <v>3732526</v>
      </c>
      <c r="AF215" s="2">
        <v>1938442</v>
      </c>
    </row>
    <row r="216" spans="1:32" s="2" customFormat="1" ht="30" customHeight="1" x14ac:dyDescent="0.25">
      <c r="A216" s="1">
        <v>9450071</v>
      </c>
      <c r="B216" s="2">
        <v>4433000</v>
      </c>
      <c r="S216">
        <v>9313088</v>
      </c>
      <c r="T216">
        <v>667458</v>
      </c>
      <c r="Y216" s="2">
        <v>8788790</v>
      </c>
      <c r="Z216" s="2">
        <v>0</v>
      </c>
      <c r="AB216" s="2">
        <v>8788790</v>
      </c>
      <c r="AC216" s="2">
        <v>0</v>
      </c>
      <c r="AE216" s="2">
        <v>3949768</v>
      </c>
      <c r="AF216" s="2">
        <v>400000</v>
      </c>
    </row>
    <row r="217" spans="1:32" s="2" customFormat="1" ht="30" customHeight="1" x14ac:dyDescent="0.25">
      <c r="A217" s="1">
        <v>9450189</v>
      </c>
      <c r="B217" s="2">
        <v>1063000</v>
      </c>
      <c r="S217" s="2">
        <v>9314906</v>
      </c>
      <c r="T217" s="2">
        <v>1009916</v>
      </c>
      <c r="Y217" s="2">
        <v>8791447</v>
      </c>
      <c r="Z217" s="2">
        <v>37000</v>
      </c>
      <c r="AB217" s="2">
        <v>8791447</v>
      </c>
      <c r="AC217" s="2">
        <v>0</v>
      </c>
      <c r="AE217" s="2">
        <v>5968921</v>
      </c>
      <c r="AF217" s="2">
        <v>150000</v>
      </c>
    </row>
    <row r="218" spans="1:32" s="2" customFormat="1" ht="30" customHeight="1" x14ac:dyDescent="0.25">
      <c r="A218" s="1">
        <v>9543067</v>
      </c>
      <c r="B218" s="2">
        <v>1465000</v>
      </c>
      <c r="S218" s="2">
        <v>9321887</v>
      </c>
      <c r="T218" s="2">
        <v>1935552</v>
      </c>
      <c r="Y218" s="2">
        <v>8899363</v>
      </c>
      <c r="Z218" s="2">
        <v>0</v>
      </c>
      <c r="AB218" s="2">
        <v>8899363</v>
      </c>
      <c r="AC218" s="2">
        <v>0</v>
      </c>
      <c r="AE218" s="2">
        <v>7143232</v>
      </c>
      <c r="AF218" s="2">
        <v>1000000</v>
      </c>
    </row>
    <row r="219" spans="1:32" s="2" customFormat="1" ht="30" customHeight="1" x14ac:dyDescent="0.25">
      <c r="A219" s="1">
        <v>9603734</v>
      </c>
      <c r="B219" s="2">
        <v>2112000</v>
      </c>
      <c r="S219" s="2">
        <v>9349276</v>
      </c>
      <c r="T219" s="2">
        <v>4423934</v>
      </c>
      <c r="Y219" s="2">
        <v>8900016</v>
      </c>
      <c r="Z219" s="2">
        <v>7845273.96</v>
      </c>
      <c r="AB219" s="2">
        <v>8900016</v>
      </c>
      <c r="AC219" s="2">
        <v>0</v>
      </c>
      <c r="AE219" s="2">
        <v>7253089</v>
      </c>
      <c r="AF219" s="2">
        <v>450000</v>
      </c>
    </row>
    <row r="220" spans="1:32" s="2" customFormat="1" ht="30" customHeight="1" x14ac:dyDescent="0.25">
      <c r="A220" s="1">
        <v>9621480</v>
      </c>
      <c r="B220" s="2">
        <v>14039000</v>
      </c>
      <c r="S220" s="2">
        <v>9450071</v>
      </c>
      <c r="T220" s="2">
        <v>3238455</v>
      </c>
      <c r="Y220" s="2">
        <v>8935632</v>
      </c>
      <c r="Z220" s="2">
        <v>0</v>
      </c>
      <c r="AB220">
        <v>8935632</v>
      </c>
      <c r="AC220">
        <v>0</v>
      </c>
      <c r="AE220" s="2">
        <v>4353078</v>
      </c>
      <c r="AF220" s="2">
        <v>500000</v>
      </c>
    </row>
    <row r="221" spans="1:32" s="2" customFormat="1" ht="30" customHeight="1" x14ac:dyDescent="0.25">
      <c r="A221" s="1">
        <v>9653966</v>
      </c>
      <c r="B221" s="2">
        <v>5492000</v>
      </c>
      <c r="S221" s="2">
        <v>9450189</v>
      </c>
      <c r="T221" s="2">
        <v>1474706</v>
      </c>
      <c r="Y221" s="2">
        <v>9072226</v>
      </c>
      <c r="Z221" s="2">
        <v>0</v>
      </c>
      <c r="AB221" s="2">
        <v>9072226</v>
      </c>
      <c r="AC221" s="2">
        <v>0</v>
      </c>
      <c r="AE221" s="2">
        <v>5227172</v>
      </c>
      <c r="AF221" s="2">
        <v>1747361</v>
      </c>
    </row>
    <row r="222" spans="1:32" s="2" customFormat="1" ht="30" customHeight="1" x14ac:dyDescent="0.25">
      <c r="A222" s="1">
        <v>9725207</v>
      </c>
      <c r="B222" s="2">
        <v>88000</v>
      </c>
      <c r="S222" s="2">
        <v>9543067</v>
      </c>
      <c r="T222" s="2">
        <v>1140593</v>
      </c>
      <c r="Y222" s="2">
        <v>9076392</v>
      </c>
      <c r="Z222" s="2">
        <v>3010220.77</v>
      </c>
      <c r="AB222" s="2">
        <v>9076392</v>
      </c>
      <c r="AC222" s="2">
        <v>0</v>
      </c>
      <c r="AE222" s="2">
        <v>6650186</v>
      </c>
      <c r="AF222" s="2">
        <v>450000</v>
      </c>
    </row>
    <row r="223" spans="1:32" s="2" customFormat="1" ht="30" customHeight="1" x14ac:dyDescent="0.25">
      <c r="A223" s="1">
        <v>9813481</v>
      </c>
      <c r="B223" s="2">
        <v>2156000</v>
      </c>
      <c r="S223" s="2">
        <v>9603734</v>
      </c>
      <c r="T223" s="2">
        <v>1615467</v>
      </c>
      <c r="Y223" s="2">
        <v>9139875</v>
      </c>
      <c r="Z223" s="2">
        <v>3735900</v>
      </c>
      <c r="AB223" s="2">
        <v>9139875</v>
      </c>
      <c r="AC223" s="2">
        <v>0</v>
      </c>
      <c r="AE223" s="2">
        <v>2954592</v>
      </c>
      <c r="AF223" s="2">
        <v>300000</v>
      </c>
    </row>
    <row r="224" spans="1:32" s="2" customFormat="1" ht="30" customHeight="1" x14ac:dyDescent="0.25">
      <c r="A224" s="1">
        <v>9835515</v>
      </c>
      <c r="B224" s="2">
        <v>13424000</v>
      </c>
      <c r="S224" s="2">
        <v>9653966</v>
      </c>
      <c r="T224" s="2">
        <v>3843342</v>
      </c>
      <c r="Y224" s="2">
        <v>9220832</v>
      </c>
      <c r="Z224" s="2">
        <v>0</v>
      </c>
      <c r="AB224" s="2">
        <v>9220832</v>
      </c>
      <c r="AC224" s="2">
        <v>0</v>
      </c>
      <c r="AE224" s="2">
        <v>5293407</v>
      </c>
      <c r="AF224" s="2">
        <v>50000</v>
      </c>
    </row>
    <row r="225" spans="1:32" s="2" customFormat="1" ht="30" customHeight="1" x14ac:dyDescent="0.25">
      <c r="A225" s="1">
        <v>9860755</v>
      </c>
      <c r="B225" s="2">
        <v>489000</v>
      </c>
      <c r="S225" s="2">
        <v>9725207</v>
      </c>
      <c r="T225" s="2">
        <v>82952</v>
      </c>
      <c r="Y225" s="2">
        <v>9266427</v>
      </c>
      <c r="Z225" s="2">
        <v>3526412</v>
      </c>
      <c r="AB225" s="2">
        <v>9266427</v>
      </c>
      <c r="AC225" s="2">
        <v>0</v>
      </c>
      <c r="AE225" s="2">
        <v>8340162</v>
      </c>
      <c r="AF225" s="2">
        <v>250000</v>
      </c>
    </row>
    <row r="226" spans="1:32" s="2" customFormat="1" ht="30" customHeight="1" x14ac:dyDescent="0.25">
      <c r="A226" s="1">
        <v>9958898</v>
      </c>
      <c r="B226" s="2">
        <v>1655000</v>
      </c>
      <c r="S226" s="2">
        <v>9813481</v>
      </c>
      <c r="T226" s="2">
        <v>2169201</v>
      </c>
      <c r="Y226">
        <v>9274680</v>
      </c>
      <c r="Z226">
        <v>0</v>
      </c>
      <c r="AB226" s="2">
        <v>9274680</v>
      </c>
      <c r="AC226" s="2">
        <v>0</v>
      </c>
      <c r="AE226" s="2">
        <v>5773192</v>
      </c>
      <c r="AF226" s="2">
        <v>550000</v>
      </c>
    </row>
    <row r="227" spans="1:32" s="2" customFormat="1" ht="30" customHeight="1" x14ac:dyDescent="0.25">
      <c r="A227" s="1">
        <v>9964505</v>
      </c>
      <c r="B227" s="2">
        <v>4200000</v>
      </c>
      <c r="S227" s="2">
        <v>9835515</v>
      </c>
      <c r="T227" s="2">
        <v>12352610</v>
      </c>
      <c r="Y227">
        <v>9313088</v>
      </c>
      <c r="Z227">
        <v>0</v>
      </c>
      <c r="AB227" s="2">
        <v>9313088</v>
      </c>
      <c r="AC227" s="2">
        <v>0</v>
      </c>
      <c r="AE227" s="2">
        <v>3368051</v>
      </c>
      <c r="AF227" s="2">
        <v>193844</v>
      </c>
    </row>
    <row r="228" spans="1:32" x14ac:dyDescent="0.25">
      <c r="S228" s="2">
        <v>9860755</v>
      </c>
      <c r="T228" s="2">
        <v>470063</v>
      </c>
      <c r="Y228" s="2">
        <v>9314906</v>
      </c>
      <c r="Z228" s="2">
        <v>0</v>
      </c>
      <c r="AB228" s="2">
        <v>9314906</v>
      </c>
      <c r="AC228" s="2">
        <v>0</v>
      </c>
      <c r="AE228">
        <v>4234054</v>
      </c>
      <c r="AF228">
        <v>1744598</v>
      </c>
    </row>
    <row r="229" spans="1:32" x14ac:dyDescent="0.25">
      <c r="S229" s="2">
        <v>9909982</v>
      </c>
      <c r="T229" s="2">
        <v>1106030</v>
      </c>
      <c r="Y229" s="2">
        <v>9321887</v>
      </c>
      <c r="Z229" s="2">
        <v>0</v>
      </c>
      <c r="AB229" s="2">
        <v>9321887</v>
      </c>
      <c r="AC229" s="2">
        <v>0</v>
      </c>
      <c r="AE229">
        <v>8719331</v>
      </c>
      <c r="AF229">
        <v>1300000</v>
      </c>
    </row>
    <row r="230" spans="1:32" x14ac:dyDescent="0.25">
      <c r="S230" s="2">
        <v>9958898</v>
      </c>
      <c r="T230" s="2">
        <v>1606047</v>
      </c>
      <c r="Y230" s="2">
        <v>9349276</v>
      </c>
      <c r="Z230" s="2">
        <v>0</v>
      </c>
      <c r="AB230" s="2">
        <v>9349276</v>
      </c>
      <c r="AC230" s="2">
        <v>0</v>
      </c>
      <c r="AE230">
        <v>9274680</v>
      </c>
      <c r="AF230">
        <v>0</v>
      </c>
    </row>
    <row r="231" spans="1:32" x14ac:dyDescent="0.25">
      <c r="S231" s="2">
        <v>9964505</v>
      </c>
      <c r="T231" s="2">
        <v>3672940</v>
      </c>
      <c r="Y231" s="2">
        <v>9397048</v>
      </c>
      <c r="Z231" s="2">
        <v>0</v>
      </c>
      <c r="AB231" s="2">
        <v>9397048</v>
      </c>
      <c r="AC231" s="2">
        <v>0</v>
      </c>
      <c r="AE231">
        <v>9313088</v>
      </c>
      <c r="AF231">
        <v>150000</v>
      </c>
    </row>
    <row r="232" spans="1:32" x14ac:dyDescent="0.25">
      <c r="Y232" s="2">
        <v>9450071</v>
      </c>
      <c r="Z232" s="2">
        <v>2224063</v>
      </c>
      <c r="AB232" s="2">
        <v>9450071</v>
      </c>
      <c r="AC232" s="2">
        <v>0</v>
      </c>
    </row>
    <row r="233" spans="1:32" x14ac:dyDescent="0.25">
      <c r="Y233" s="2">
        <v>9450189</v>
      </c>
      <c r="Z233" s="2">
        <v>0</v>
      </c>
      <c r="AB233" s="2">
        <v>9450189</v>
      </c>
      <c r="AC233" s="2">
        <v>0</v>
      </c>
    </row>
    <row r="234" spans="1:32" x14ac:dyDescent="0.25">
      <c r="Y234" s="2">
        <v>9543067</v>
      </c>
      <c r="Z234" s="2">
        <v>0</v>
      </c>
      <c r="AB234" s="2">
        <v>9543067</v>
      </c>
      <c r="AC234" s="2">
        <v>0</v>
      </c>
    </row>
    <row r="235" spans="1:32" x14ac:dyDescent="0.25">
      <c r="Y235" s="2">
        <v>9603734</v>
      </c>
      <c r="Z235" s="2">
        <v>0</v>
      </c>
      <c r="AB235" s="2">
        <v>9603734</v>
      </c>
      <c r="AC235" s="2">
        <v>0</v>
      </c>
    </row>
    <row r="236" spans="1:32" x14ac:dyDescent="0.25">
      <c r="Y236" s="2">
        <v>9621480</v>
      </c>
      <c r="Z236" s="2">
        <v>1038321.29</v>
      </c>
      <c r="AB236" s="2">
        <v>9621480</v>
      </c>
      <c r="AC236" s="2">
        <v>0</v>
      </c>
    </row>
    <row r="237" spans="1:32" x14ac:dyDescent="0.25">
      <c r="Y237" s="2">
        <v>9653966</v>
      </c>
      <c r="Z237" s="2">
        <v>2925351</v>
      </c>
      <c r="AB237" s="2">
        <v>9653966</v>
      </c>
      <c r="AC237" s="2">
        <v>0</v>
      </c>
    </row>
    <row r="238" spans="1:32" x14ac:dyDescent="0.25">
      <c r="Y238" s="2">
        <v>9725207</v>
      </c>
      <c r="Z238" s="2">
        <v>0</v>
      </c>
      <c r="AB238" s="2">
        <v>9725207</v>
      </c>
      <c r="AC238" s="2">
        <v>0</v>
      </c>
    </row>
    <row r="239" spans="1:32" x14ac:dyDescent="0.25">
      <c r="Y239" s="2">
        <v>9813481</v>
      </c>
      <c r="Z239" s="2">
        <v>0</v>
      </c>
      <c r="AB239" s="2">
        <v>9813481</v>
      </c>
      <c r="AC239" s="2">
        <v>0</v>
      </c>
    </row>
    <row r="240" spans="1:32" x14ac:dyDescent="0.25">
      <c r="Y240" s="2">
        <v>9835515</v>
      </c>
      <c r="Z240" s="2">
        <v>5468158.4400000004</v>
      </c>
      <c r="AB240" s="2">
        <v>9835515</v>
      </c>
      <c r="AC240" s="2">
        <v>0</v>
      </c>
    </row>
    <row r="241" spans="25:29" x14ac:dyDescent="0.25">
      <c r="Y241" s="2">
        <v>9860755</v>
      </c>
      <c r="Z241" s="2">
        <v>0</v>
      </c>
      <c r="AB241" s="2">
        <v>9860755</v>
      </c>
      <c r="AC241" s="2">
        <v>0</v>
      </c>
    </row>
    <row r="242" spans="25:29" x14ac:dyDescent="0.25">
      <c r="Y242" s="2">
        <v>9864940</v>
      </c>
      <c r="Z242" s="2">
        <v>0</v>
      </c>
      <c r="AB242" s="2">
        <v>9864940</v>
      </c>
      <c r="AC242" s="2">
        <v>0</v>
      </c>
    </row>
    <row r="243" spans="25:29" x14ac:dyDescent="0.25">
      <c r="Y243" s="2">
        <v>9958898</v>
      </c>
      <c r="Z243" s="2">
        <v>0</v>
      </c>
      <c r="AB243" s="2">
        <v>9958898</v>
      </c>
      <c r="AC243" s="2">
        <v>0</v>
      </c>
    </row>
    <row r="244" spans="25:29" x14ac:dyDescent="0.25">
      <c r="Y244" s="2">
        <v>9964505</v>
      </c>
      <c r="Z244" s="2">
        <v>0</v>
      </c>
      <c r="AB244" s="2">
        <v>9964505</v>
      </c>
      <c r="AC244" s="2">
        <v>0</v>
      </c>
    </row>
  </sheetData>
  <autoFilter ref="AB1:AC4" xr:uid="{AB31F7F2-EE90-4CF2-9CDB-C4A655AD9716}">
    <sortState xmlns:xlrd2="http://schemas.microsoft.com/office/spreadsheetml/2017/richdata2" ref="AB8:AC244">
      <sortCondition ref="AB1:AB4"/>
    </sortState>
  </autoFilter>
  <mergeCells count="22">
    <mergeCell ref="A1:A4"/>
    <mergeCell ref="B1:B4"/>
    <mergeCell ref="E1:E4"/>
    <mergeCell ref="H1:H4"/>
    <mergeCell ref="D1:D4"/>
    <mergeCell ref="J1:J4"/>
    <mergeCell ref="M1:M4"/>
    <mergeCell ref="P1:P4"/>
    <mergeCell ref="K1:K4"/>
    <mergeCell ref="G1:G4"/>
    <mergeCell ref="S1:S4"/>
    <mergeCell ref="T1:T4"/>
    <mergeCell ref="V1:V4"/>
    <mergeCell ref="W1:W4"/>
    <mergeCell ref="N1:N4"/>
    <mergeCell ref="Q1:Q4"/>
    <mergeCell ref="AE1:AE4"/>
    <mergeCell ref="AF1:AF4"/>
    <mergeCell ref="Y1:Y4"/>
    <mergeCell ref="Z1:Z4"/>
    <mergeCell ref="AB1:AB4"/>
    <mergeCell ref="AC1:AC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FBF6-6A4F-4FAB-BD67-B0B6E19488DF}">
  <dimension ref="A1:B241"/>
  <sheetViews>
    <sheetView topLeftCell="A208" workbookViewId="0">
      <selection activeCell="F11" sqref="F11"/>
    </sheetView>
  </sheetViews>
  <sheetFormatPr defaultRowHeight="15" x14ac:dyDescent="0.25"/>
  <cols>
    <col min="1" max="1" width="10.7109375" bestFit="1" customWidth="1"/>
  </cols>
  <sheetData>
    <row r="1" spans="1:2" x14ac:dyDescent="0.25">
      <c r="A1" s="161" t="s">
        <v>480</v>
      </c>
    </row>
    <row r="2" spans="1:2" x14ac:dyDescent="0.25">
      <c r="A2" s="162">
        <v>1020591</v>
      </c>
      <c r="B2">
        <v>400000</v>
      </c>
    </row>
    <row r="3" spans="1:2" x14ac:dyDescent="0.25">
      <c r="A3" s="162">
        <v>1129034</v>
      </c>
      <c r="B3">
        <v>25000</v>
      </c>
    </row>
    <row r="4" spans="1:2" x14ac:dyDescent="0.25">
      <c r="A4" s="162">
        <v>1161877</v>
      </c>
      <c r="B4">
        <v>198609</v>
      </c>
    </row>
    <row r="5" spans="1:2" x14ac:dyDescent="0.25">
      <c r="A5" s="162">
        <v>1201824</v>
      </c>
      <c r="B5">
        <v>0</v>
      </c>
    </row>
    <row r="6" spans="1:2" x14ac:dyDescent="0.25">
      <c r="A6" s="162">
        <v>1220799</v>
      </c>
      <c r="B6">
        <v>280517</v>
      </c>
    </row>
    <row r="7" spans="1:2" x14ac:dyDescent="0.25">
      <c r="A7" s="162">
        <v>1226991</v>
      </c>
      <c r="B7">
        <v>139545</v>
      </c>
    </row>
    <row r="8" spans="1:2" x14ac:dyDescent="0.25">
      <c r="A8" s="162">
        <v>1229581</v>
      </c>
      <c r="B8">
        <v>586056</v>
      </c>
    </row>
    <row r="9" spans="1:2" x14ac:dyDescent="0.25">
      <c r="A9" s="162">
        <v>1273599</v>
      </c>
      <c r="B9">
        <v>0</v>
      </c>
    </row>
    <row r="10" spans="1:2" x14ac:dyDescent="0.25">
      <c r="A10" s="162">
        <v>1280179</v>
      </c>
      <c r="B10">
        <v>0</v>
      </c>
    </row>
    <row r="11" spans="1:2" x14ac:dyDescent="0.25">
      <c r="A11" s="162">
        <v>1297986</v>
      </c>
      <c r="B11">
        <v>750096</v>
      </c>
    </row>
    <row r="12" spans="1:2" x14ac:dyDescent="0.25">
      <c r="A12" s="162">
        <v>1303151</v>
      </c>
      <c r="B12">
        <v>265000</v>
      </c>
    </row>
    <row r="13" spans="1:2" x14ac:dyDescent="0.25">
      <c r="A13" s="162">
        <v>1347706</v>
      </c>
      <c r="B13">
        <v>0</v>
      </c>
    </row>
    <row r="14" spans="1:2" x14ac:dyDescent="0.25">
      <c r="A14" s="162">
        <v>1410170</v>
      </c>
      <c r="B14">
        <v>0</v>
      </c>
    </row>
    <row r="15" spans="1:2" x14ac:dyDescent="0.25">
      <c r="A15" s="162">
        <v>1420566</v>
      </c>
      <c r="B15">
        <v>385000</v>
      </c>
    </row>
    <row r="16" spans="1:2" x14ac:dyDescent="0.25">
      <c r="A16" s="162">
        <v>1464519</v>
      </c>
      <c r="B16">
        <v>86289</v>
      </c>
    </row>
    <row r="17" spans="1:2" x14ac:dyDescent="0.25">
      <c r="A17" s="162">
        <v>1467756</v>
      </c>
      <c r="B17">
        <v>50444</v>
      </c>
    </row>
    <row r="18" spans="1:2" x14ac:dyDescent="0.25">
      <c r="A18" s="162">
        <v>1526260</v>
      </c>
      <c r="B18">
        <v>57261</v>
      </c>
    </row>
    <row r="19" spans="1:2" x14ac:dyDescent="0.25">
      <c r="A19" s="162">
        <v>1656576</v>
      </c>
      <c r="B19">
        <v>215661</v>
      </c>
    </row>
    <row r="20" spans="1:2" x14ac:dyDescent="0.25">
      <c r="A20" s="162">
        <v>1660265</v>
      </c>
      <c r="B20">
        <v>0</v>
      </c>
    </row>
    <row r="21" spans="1:2" x14ac:dyDescent="0.25">
      <c r="A21" s="163">
        <v>1701584</v>
      </c>
      <c r="B21" s="164">
        <v>0</v>
      </c>
    </row>
    <row r="22" spans="1:2" x14ac:dyDescent="0.25">
      <c r="A22" s="162">
        <v>1775589</v>
      </c>
      <c r="B22">
        <v>1462000</v>
      </c>
    </row>
    <row r="23" spans="1:2" x14ac:dyDescent="0.25">
      <c r="A23" s="162">
        <v>1807508</v>
      </c>
      <c r="B23">
        <v>0</v>
      </c>
    </row>
    <row r="24" spans="1:2" x14ac:dyDescent="0.25">
      <c r="A24" s="162">
        <v>1840164</v>
      </c>
      <c r="B24">
        <v>27604</v>
      </c>
    </row>
    <row r="25" spans="1:2" x14ac:dyDescent="0.25">
      <c r="A25" s="162">
        <v>1853485</v>
      </c>
      <c r="B25">
        <v>0</v>
      </c>
    </row>
    <row r="26" spans="1:2" x14ac:dyDescent="0.25">
      <c r="A26" s="162">
        <v>1947710</v>
      </c>
      <c r="B26">
        <v>82647</v>
      </c>
    </row>
    <row r="27" spans="1:2" x14ac:dyDescent="0.25">
      <c r="A27" s="162">
        <v>2038560</v>
      </c>
      <c r="B27">
        <v>10150.6</v>
      </c>
    </row>
    <row r="28" spans="1:2" x14ac:dyDescent="0.25">
      <c r="A28" s="162">
        <v>2049573</v>
      </c>
      <c r="B28">
        <v>350000</v>
      </c>
    </row>
    <row r="29" spans="1:2" x14ac:dyDescent="0.25">
      <c r="A29" s="162">
        <v>2073130</v>
      </c>
      <c r="B29">
        <v>75000</v>
      </c>
    </row>
    <row r="30" spans="1:2" x14ac:dyDescent="0.25">
      <c r="A30" s="162">
        <v>2084701</v>
      </c>
      <c r="B30">
        <v>395303</v>
      </c>
    </row>
    <row r="31" spans="1:2" x14ac:dyDescent="0.25">
      <c r="A31" s="162">
        <v>2088349</v>
      </c>
      <c r="B31">
        <v>0</v>
      </c>
    </row>
    <row r="32" spans="1:2" x14ac:dyDescent="0.25">
      <c r="A32" s="162">
        <v>2138835</v>
      </c>
      <c r="B32">
        <v>0</v>
      </c>
    </row>
    <row r="33" spans="1:2" x14ac:dyDescent="0.25">
      <c r="A33" s="162">
        <v>2164863</v>
      </c>
      <c r="B33">
        <v>53286</v>
      </c>
    </row>
    <row r="34" spans="1:2" x14ac:dyDescent="0.25">
      <c r="A34" s="162">
        <v>2284277</v>
      </c>
      <c r="B34">
        <v>0</v>
      </c>
    </row>
    <row r="35" spans="1:2" x14ac:dyDescent="0.25">
      <c r="A35" s="162">
        <v>2293541</v>
      </c>
      <c r="B35">
        <v>88599.4</v>
      </c>
    </row>
    <row r="36" spans="1:2" x14ac:dyDescent="0.25">
      <c r="A36" s="162">
        <v>2308616</v>
      </c>
      <c r="B36">
        <v>0</v>
      </c>
    </row>
    <row r="37" spans="1:2" x14ac:dyDescent="0.25">
      <c r="A37" s="162">
        <v>2446668</v>
      </c>
      <c r="B37">
        <v>0</v>
      </c>
    </row>
    <row r="38" spans="1:2" x14ac:dyDescent="0.25">
      <c r="A38" s="162">
        <v>2453453</v>
      </c>
      <c r="B38">
        <v>48934</v>
      </c>
    </row>
    <row r="39" spans="1:2" x14ac:dyDescent="0.25">
      <c r="A39" s="162">
        <v>2480451</v>
      </c>
      <c r="B39">
        <v>0</v>
      </c>
    </row>
    <row r="40" spans="1:2" x14ac:dyDescent="0.25">
      <c r="A40" s="162">
        <v>2481915</v>
      </c>
      <c r="B40">
        <v>160545</v>
      </c>
    </row>
    <row r="41" spans="1:2" x14ac:dyDescent="0.25">
      <c r="A41" s="162">
        <v>2522751</v>
      </c>
      <c r="B41">
        <v>0</v>
      </c>
    </row>
    <row r="42" spans="1:2" x14ac:dyDescent="0.25">
      <c r="A42" s="162">
        <v>2527518</v>
      </c>
      <c r="B42">
        <v>441025</v>
      </c>
    </row>
    <row r="43" spans="1:2" x14ac:dyDescent="0.25">
      <c r="A43" s="162">
        <v>2552651</v>
      </c>
      <c r="B43">
        <v>0</v>
      </c>
    </row>
    <row r="44" spans="1:2" x14ac:dyDescent="0.25">
      <c r="A44" s="162">
        <v>2572767</v>
      </c>
      <c r="B44">
        <v>703063</v>
      </c>
    </row>
    <row r="45" spans="1:2" x14ac:dyDescent="0.25">
      <c r="A45" s="162">
        <v>2574699</v>
      </c>
      <c r="B45">
        <v>0</v>
      </c>
    </row>
    <row r="46" spans="1:2" x14ac:dyDescent="0.25">
      <c r="A46" s="162">
        <v>2584331</v>
      </c>
      <c r="B46">
        <v>169000</v>
      </c>
    </row>
    <row r="47" spans="1:2" x14ac:dyDescent="0.25">
      <c r="A47" s="162">
        <v>2587147</v>
      </c>
      <c r="B47">
        <v>0</v>
      </c>
    </row>
    <row r="48" spans="1:2" x14ac:dyDescent="0.25">
      <c r="A48" s="162">
        <v>2632467</v>
      </c>
      <c r="B48">
        <v>0</v>
      </c>
    </row>
    <row r="49" spans="1:2" x14ac:dyDescent="0.25">
      <c r="A49" s="162">
        <v>2700736</v>
      </c>
      <c r="B49">
        <v>0</v>
      </c>
    </row>
    <row r="50" spans="1:2" x14ac:dyDescent="0.25">
      <c r="A50" s="162">
        <v>2718583</v>
      </c>
      <c r="B50">
        <v>86345</v>
      </c>
    </row>
    <row r="51" spans="1:2" x14ac:dyDescent="0.25">
      <c r="A51" s="162">
        <v>2838544</v>
      </c>
      <c r="B51">
        <v>0</v>
      </c>
    </row>
    <row r="52" spans="1:2" x14ac:dyDescent="0.25">
      <c r="A52" s="162">
        <v>2854766</v>
      </c>
      <c r="B52">
        <v>0</v>
      </c>
    </row>
    <row r="53" spans="1:2" x14ac:dyDescent="0.25">
      <c r="A53" s="162">
        <v>2925974</v>
      </c>
      <c r="B53">
        <v>421835</v>
      </c>
    </row>
    <row r="54" spans="1:2" x14ac:dyDescent="0.25">
      <c r="A54" s="162">
        <v>2928724</v>
      </c>
      <c r="B54">
        <v>0</v>
      </c>
    </row>
    <row r="55" spans="1:2" x14ac:dyDescent="0.25">
      <c r="A55" s="162">
        <v>2930990</v>
      </c>
      <c r="B55">
        <v>320000</v>
      </c>
    </row>
    <row r="56" spans="1:2" x14ac:dyDescent="0.25">
      <c r="A56" s="162">
        <v>2954592</v>
      </c>
      <c r="B56">
        <v>57620</v>
      </c>
    </row>
    <row r="57" spans="1:2" x14ac:dyDescent="0.25">
      <c r="A57" s="162">
        <v>3001174</v>
      </c>
      <c r="B57">
        <v>0</v>
      </c>
    </row>
    <row r="58" spans="1:2" x14ac:dyDescent="0.25">
      <c r="A58" s="162">
        <v>3005927</v>
      </c>
      <c r="B58">
        <v>0</v>
      </c>
    </row>
    <row r="59" spans="1:2" x14ac:dyDescent="0.25">
      <c r="A59" s="162">
        <v>3055579</v>
      </c>
      <c r="B59">
        <v>0</v>
      </c>
    </row>
    <row r="60" spans="1:2" x14ac:dyDescent="0.25">
      <c r="A60" s="162">
        <v>3069495</v>
      </c>
      <c r="B60">
        <v>0</v>
      </c>
    </row>
    <row r="61" spans="1:2" x14ac:dyDescent="0.25">
      <c r="A61" s="162">
        <v>3139161</v>
      </c>
      <c r="B61">
        <v>0</v>
      </c>
    </row>
    <row r="62" spans="1:2" x14ac:dyDescent="0.25">
      <c r="A62" s="162">
        <v>3145588</v>
      </c>
      <c r="B62">
        <v>4000</v>
      </c>
    </row>
    <row r="63" spans="1:2" x14ac:dyDescent="0.25">
      <c r="A63" s="162">
        <v>3146268</v>
      </c>
      <c r="B63">
        <v>509030</v>
      </c>
    </row>
    <row r="64" spans="1:2" x14ac:dyDescent="0.25">
      <c r="A64" s="162">
        <v>3148048</v>
      </c>
      <c r="B64">
        <v>200000</v>
      </c>
    </row>
    <row r="65" spans="1:2" x14ac:dyDescent="0.25">
      <c r="A65" s="162">
        <v>3152221</v>
      </c>
      <c r="B65">
        <v>0</v>
      </c>
    </row>
    <row r="66" spans="1:2" x14ac:dyDescent="0.25">
      <c r="A66" s="162">
        <v>3166608</v>
      </c>
      <c r="B66">
        <v>267743</v>
      </c>
    </row>
    <row r="67" spans="1:2" x14ac:dyDescent="0.25">
      <c r="A67" s="162">
        <v>3190180</v>
      </c>
      <c r="B67">
        <v>0</v>
      </c>
    </row>
    <row r="68" spans="1:2" x14ac:dyDescent="0.25">
      <c r="A68" s="162">
        <v>3364695</v>
      </c>
      <c r="B68">
        <v>248893</v>
      </c>
    </row>
    <row r="69" spans="1:2" x14ac:dyDescent="0.25">
      <c r="A69" s="162">
        <v>3368051</v>
      </c>
      <c r="B69">
        <v>0</v>
      </c>
    </row>
    <row r="70" spans="1:2" x14ac:dyDescent="0.25">
      <c r="A70" s="162">
        <v>3415850</v>
      </c>
      <c r="B70">
        <v>0</v>
      </c>
    </row>
    <row r="71" spans="1:2" x14ac:dyDescent="0.25">
      <c r="A71" s="162">
        <v>3428319</v>
      </c>
      <c r="B71">
        <v>1106006</v>
      </c>
    </row>
    <row r="72" spans="1:2" x14ac:dyDescent="0.25">
      <c r="A72" s="162">
        <v>3438523</v>
      </c>
      <c r="B72">
        <v>0</v>
      </c>
    </row>
    <row r="73" spans="1:2" x14ac:dyDescent="0.25">
      <c r="A73" s="162">
        <v>3555154</v>
      </c>
      <c r="B73">
        <v>0</v>
      </c>
    </row>
    <row r="74" spans="1:2" x14ac:dyDescent="0.25">
      <c r="A74" s="162">
        <v>3596108</v>
      </c>
      <c r="B74">
        <v>558385.73</v>
      </c>
    </row>
    <row r="75" spans="1:2" x14ac:dyDescent="0.25">
      <c r="A75" s="162">
        <v>3625295</v>
      </c>
      <c r="B75">
        <v>0</v>
      </c>
    </row>
    <row r="76" spans="1:2" x14ac:dyDescent="0.25">
      <c r="A76" s="162">
        <v>3632154</v>
      </c>
      <c r="B76">
        <v>244812</v>
      </c>
    </row>
    <row r="77" spans="1:2" x14ac:dyDescent="0.25">
      <c r="A77" s="162">
        <v>3661910</v>
      </c>
      <c r="B77">
        <v>79054</v>
      </c>
    </row>
    <row r="78" spans="1:2" x14ac:dyDescent="0.25">
      <c r="A78" s="162">
        <v>3682159</v>
      </c>
      <c r="B78">
        <v>0</v>
      </c>
    </row>
    <row r="79" spans="1:2" x14ac:dyDescent="0.25">
      <c r="A79" s="162">
        <v>3702507</v>
      </c>
      <c r="B79">
        <v>0</v>
      </c>
    </row>
    <row r="80" spans="1:2" x14ac:dyDescent="0.25">
      <c r="A80" s="162">
        <v>3732526</v>
      </c>
      <c r="B80">
        <v>0</v>
      </c>
    </row>
    <row r="81" spans="1:2" x14ac:dyDescent="0.25">
      <c r="A81" s="162">
        <v>3775974</v>
      </c>
      <c r="B81">
        <v>87272</v>
      </c>
    </row>
    <row r="82" spans="1:2" x14ac:dyDescent="0.25">
      <c r="A82" s="162">
        <v>3790182</v>
      </c>
      <c r="B82">
        <v>80000</v>
      </c>
    </row>
    <row r="83" spans="1:2" x14ac:dyDescent="0.25">
      <c r="A83" s="162">
        <v>3801846</v>
      </c>
      <c r="B83">
        <v>125472</v>
      </c>
    </row>
    <row r="84" spans="1:2" x14ac:dyDescent="0.25">
      <c r="A84" s="162">
        <v>3802797</v>
      </c>
      <c r="B84">
        <v>0</v>
      </c>
    </row>
    <row r="85" spans="1:2" x14ac:dyDescent="0.25">
      <c r="A85" s="162">
        <v>3822869</v>
      </c>
      <c r="B85">
        <v>78059</v>
      </c>
    </row>
    <row r="86" spans="1:2" x14ac:dyDescent="0.25">
      <c r="A86" s="162">
        <v>3823721</v>
      </c>
      <c r="B86">
        <v>10752</v>
      </c>
    </row>
    <row r="87" spans="1:2" x14ac:dyDescent="0.25">
      <c r="A87" s="162">
        <v>3843439</v>
      </c>
      <c r="B87">
        <v>60000</v>
      </c>
    </row>
    <row r="88" spans="1:2" x14ac:dyDescent="0.25">
      <c r="A88" s="162">
        <v>3852372</v>
      </c>
      <c r="B88">
        <v>14000</v>
      </c>
    </row>
    <row r="89" spans="1:2" x14ac:dyDescent="0.25">
      <c r="A89" s="162">
        <v>3865693</v>
      </c>
      <c r="B89">
        <v>331176</v>
      </c>
    </row>
    <row r="90" spans="1:2" x14ac:dyDescent="0.25">
      <c r="A90" s="162">
        <v>3886672</v>
      </c>
      <c r="B90">
        <v>0</v>
      </c>
    </row>
    <row r="91" spans="1:2" x14ac:dyDescent="0.25">
      <c r="A91" s="162">
        <v>3910140</v>
      </c>
      <c r="B91">
        <v>110000</v>
      </c>
    </row>
    <row r="92" spans="1:2" x14ac:dyDescent="0.25">
      <c r="A92" s="162">
        <v>3912232</v>
      </c>
      <c r="B92">
        <v>62118</v>
      </c>
    </row>
    <row r="93" spans="1:2" x14ac:dyDescent="0.25">
      <c r="A93" s="162">
        <v>3949768</v>
      </c>
      <c r="B93">
        <v>19800</v>
      </c>
    </row>
    <row r="94" spans="1:2" x14ac:dyDescent="0.25">
      <c r="A94" s="162">
        <v>3959325</v>
      </c>
      <c r="B94">
        <v>1388971</v>
      </c>
    </row>
    <row r="95" spans="1:2" x14ac:dyDescent="0.25">
      <c r="A95" s="162">
        <v>3977219</v>
      </c>
      <c r="B95">
        <v>0</v>
      </c>
    </row>
    <row r="96" spans="1:2" x14ac:dyDescent="0.25">
      <c r="A96" s="162">
        <v>3988103</v>
      </c>
      <c r="B96">
        <v>685714</v>
      </c>
    </row>
    <row r="97" spans="1:2" x14ac:dyDescent="0.25">
      <c r="A97" s="162">
        <v>4094333</v>
      </c>
      <c r="B97">
        <v>0</v>
      </c>
    </row>
    <row r="98" spans="1:2" x14ac:dyDescent="0.25">
      <c r="A98" s="162">
        <v>4142726</v>
      </c>
      <c r="B98">
        <v>705616</v>
      </c>
    </row>
    <row r="99" spans="1:2" x14ac:dyDescent="0.25">
      <c r="A99" s="162">
        <v>4148036</v>
      </c>
      <c r="B99">
        <v>0</v>
      </c>
    </row>
    <row r="100" spans="1:2" x14ac:dyDescent="0.25">
      <c r="A100" s="162">
        <v>4234054</v>
      </c>
      <c r="B100">
        <v>0</v>
      </c>
    </row>
    <row r="101" spans="1:2" x14ac:dyDescent="0.25">
      <c r="A101" s="162">
        <v>4297455</v>
      </c>
      <c r="B101">
        <v>0</v>
      </c>
    </row>
    <row r="102" spans="1:2" x14ac:dyDescent="0.25">
      <c r="A102" s="162">
        <v>4319542</v>
      </c>
      <c r="B102">
        <v>0</v>
      </c>
    </row>
    <row r="103" spans="1:2" x14ac:dyDescent="0.25">
      <c r="A103" s="162">
        <v>4337287</v>
      </c>
      <c r="B103">
        <v>0</v>
      </c>
    </row>
    <row r="104" spans="1:2" x14ac:dyDescent="0.25">
      <c r="A104" s="162">
        <v>4343228</v>
      </c>
      <c r="B104">
        <v>229289</v>
      </c>
    </row>
    <row r="105" spans="1:2" x14ac:dyDescent="0.25">
      <c r="A105" s="162">
        <v>4353078</v>
      </c>
      <c r="B105">
        <v>116571</v>
      </c>
    </row>
    <row r="106" spans="1:2" x14ac:dyDescent="0.25">
      <c r="A106" s="162">
        <v>4358523</v>
      </c>
      <c r="B106">
        <v>62992</v>
      </c>
    </row>
    <row r="107" spans="1:2" x14ac:dyDescent="0.25">
      <c r="A107" s="162">
        <v>4385424</v>
      </c>
      <c r="B107">
        <v>176663</v>
      </c>
    </row>
    <row r="108" spans="1:2" x14ac:dyDescent="0.25">
      <c r="A108" s="162">
        <v>4418892</v>
      </c>
      <c r="B108">
        <v>0</v>
      </c>
    </row>
    <row r="109" spans="1:2" x14ac:dyDescent="0.25">
      <c r="A109" s="162">
        <v>4441304</v>
      </c>
      <c r="B109">
        <v>0</v>
      </c>
    </row>
    <row r="110" spans="1:2" x14ac:dyDescent="0.25">
      <c r="A110" s="162">
        <v>4493554</v>
      </c>
      <c r="B110">
        <v>0</v>
      </c>
    </row>
    <row r="111" spans="1:2" x14ac:dyDescent="0.25">
      <c r="A111" s="162">
        <v>4501907</v>
      </c>
      <c r="B111">
        <v>0</v>
      </c>
    </row>
    <row r="112" spans="1:2" x14ac:dyDescent="0.25">
      <c r="A112" s="162">
        <v>4530859</v>
      </c>
      <c r="B112">
        <v>537399</v>
      </c>
    </row>
    <row r="113" spans="1:2" x14ac:dyDescent="0.25">
      <c r="A113" s="162">
        <v>4630845</v>
      </c>
      <c r="B113">
        <v>0</v>
      </c>
    </row>
    <row r="114" spans="1:2" x14ac:dyDescent="0.25">
      <c r="A114" s="162">
        <v>4654168</v>
      </c>
      <c r="B114">
        <v>0</v>
      </c>
    </row>
    <row r="115" spans="1:2" x14ac:dyDescent="0.25">
      <c r="A115" s="162">
        <v>4661168</v>
      </c>
      <c r="B115">
        <v>0</v>
      </c>
    </row>
    <row r="116" spans="1:2" x14ac:dyDescent="0.25">
      <c r="A116" s="162">
        <v>4756138</v>
      </c>
      <c r="B116">
        <v>68350</v>
      </c>
    </row>
    <row r="117" spans="1:2" x14ac:dyDescent="0.25">
      <c r="A117" s="162">
        <v>4823957</v>
      </c>
      <c r="B117">
        <v>929966</v>
      </c>
    </row>
    <row r="118" spans="1:2" x14ac:dyDescent="0.25">
      <c r="A118" s="162">
        <v>4853448</v>
      </c>
      <c r="B118">
        <v>495977</v>
      </c>
    </row>
    <row r="119" spans="1:2" x14ac:dyDescent="0.25">
      <c r="A119" s="162">
        <v>4873800</v>
      </c>
      <c r="B119">
        <v>193141</v>
      </c>
    </row>
    <row r="120" spans="1:2" x14ac:dyDescent="0.25">
      <c r="A120" s="162">
        <v>4890597</v>
      </c>
      <c r="B120">
        <v>0</v>
      </c>
    </row>
    <row r="121" spans="1:2" x14ac:dyDescent="0.25">
      <c r="A121" s="162">
        <v>5002625</v>
      </c>
      <c r="B121">
        <v>0</v>
      </c>
    </row>
    <row r="122" spans="1:2" x14ac:dyDescent="0.25">
      <c r="A122" s="162">
        <v>5063729</v>
      </c>
      <c r="B122">
        <v>67876</v>
      </c>
    </row>
    <row r="123" spans="1:2" x14ac:dyDescent="0.25">
      <c r="A123" s="162">
        <v>5070480</v>
      </c>
      <c r="B123">
        <v>21000</v>
      </c>
    </row>
    <row r="124" spans="1:2" x14ac:dyDescent="0.25">
      <c r="A124" s="162">
        <v>5091362</v>
      </c>
      <c r="B124">
        <v>74000</v>
      </c>
    </row>
    <row r="125" spans="1:2" x14ac:dyDescent="0.25">
      <c r="A125" s="162">
        <v>5172647</v>
      </c>
      <c r="B125">
        <v>0</v>
      </c>
    </row>
    <row r="126" spans="1:2" x14ac:dyDescent="0.25">
      <c r="A126" s="162">
        <v>5227172</v>
      </c>
      <c r="B126">
        <v>609826</v>
      </c>
    </row>
    <row r="127" spans="1:2" x14ac:dyDescent="0.25">
      <c r="A127" s="162">
        <v>5231429</v>
      </c>
      <c r="B127">
        <v>257670</v>
      </c>
    </row>
    <row r="128" spans="1:2" x14ac:dyDescent="0.25">
      <c r="A128" s="162">
        <v>5235056</v>
      </c>
      <c r="B128">
        <v>104702</v>
      </c>
    </row>
    <row r="129" spans="1:2" x14ac:dyDescent="0.25">
      <c r="A129" s="162">
        <v>5285192</v>
      </c>
      <c r="B129">
        <v>0</v>
      </c>
    </row>
    <row r="130" spans="1:2" x14ac:dyDescent="0.25">
      <c r="A130" s="162">
        <v>5293407</v>
      </c>
      <c r="B130">
        <v>0</v>
      </c>
    </row>
    <row r="131" spans="1:2" x14ac:dyDescent="0.25">
      <c r="A131" s="162">
        <v>5293571</v>
      </c>
      <c r="B131">
        <v>154474</v>
      </c>
    </row>
    <row r="132" spans="1:2" x14ac:dyDescent="0.25">
      <c r="A132" s="162">
        <v>5312119</v>
      </c>
      <c r="B132">
        <v>135000</v>
      </c>
    </row>
    <row r="133" spans="1:2" x14ac:dyDescent="0.25">
      <c r="A133" s="162">
        <v>5362299</v>
      </c>
      <c r="B133">
        <v>154000</v>
      </c>
    </row>
    <row r="134" spans="1:2" x14ac:dyDescent="0.25">
      <c r="A134" s="162">
        <v>5391602</v>
      </c>
      <c r="B134">
        <v>641851</v>
      </c>
    </row>
    <row r="135" spans="1:2" x14ac:dyDescent="0.25">
      <c r="A135" s="162">
        <v>5393471</v>
      </c>
      <c r="B135">
        <v>0</v>
      </c>
    </row>
    <row r="136" spans="1:2" x14ac:dyDescent="0.25">
      <c r="A136" s="162">
        <v>5451090</v>
      </c>
      <c r="B136">
        <v>25298</v>
      </c>
    </row>
    <row r="137" spans="1:2" x14ac:dyDescent="0.25">
      <c r="A137" s="162">
        <v>5475959</v>
      </c>
      <c r="B137">
        <v>0</v>
      </c>
    </row>
    <row r="138" spans="1:2" x14ac:dyDescent="0.25">
      <c r="A138" s="162">
        <v>5563434</v>
      </c>
      <c r="B138">
        <v>111784</v>
      </c>
    </row>
    <row r="139" spans="1:2" x14ac:dyDescent="0.25">
      <c r="A139" s="162">
        <v>5713240</v>
      </c>
      <c r="B139">
        <v>187818</v>
      </c>
    </row>
    <row r="140" spans="1:2" x14ac:dyDescent="0.25">
      <c r="A140" s="162">
        <v>5741111</v>
      </c>
      <c r="B140">
        <v>1236542</v>
      </c>
    </row>
    <row r="141" spans="1:2" x14ac:dyDescent="0.25">
      <c r="A141" s="162">
        <v>5773192</v>
      </c>
      <c r="B141">
        <v>1083743</v>
      </c>
    </row>
    <row r="142" spans="1:2" x14ac:dyDescent="0.25">
      <c r="A142" s="162">
        <v>5792926</v>
      </c>
      <c r="B142">
        <v>0</v>
      </c>
    </row>
    <row r="143" spans="1:2" x14ac:dyDescent="0.25">
      <c r="A143" s="162">
        <v>5793673</v>
      </c>
      <c r="B143">
        <v>130537</v>
      </c>
    </row>
    <row r="144" spans="1:2" x14ac:dyDescent="0.25">
      <c r="A144" s="162">
        <v>5833201</v>
      </c>
      <c r="B144">
        <v>0</v>
      </c>
    </row>
    <row r="145" spans="1:2" x14ac:dyDescent="0.25">
      <c r="A145" s="162">
        <v>5861633</v>
      </c>
      <c r="B145">
        <v>0</v>
      </c>
    </row>
    <row r="146" spans="1:2" x14ac:dyDescent="0.25">
      <c r="A146" s="162">
        <v>5918012</v>
      </c>
      <c r="B146">
        <v>530000</v>
      </c>
    </row>
    <row r="147" spans="1:2" x14ac:dyDescent="0.25">
      <c r="A147" s="162">
        <v>5957695</v>
      </c>
      <c r="B147">
        <v>0</v>
      </c>
    </row>
    <row r="148" spans="1:2" x14ac:dyDescent="0.25">
      <c r="A148" s="162">
        <v>5968921</v>
      </c>
      <c r="B148">
        <v>50810</v>
      </c>
    </row>
    <row r="149" spans="1:2" x14ac:dyDescent="0.25">
      <c r="A149" s="162">
        <v>6191395</v>
      </c>
      <c r="B149">
        <v>0</v>
      </c>
    </row>
    <row r="150" spans="1:2" x14ac:dyDescent="0.25">
      <c r="A150" s="162">
        <v>6224406</v>
      </c>
      <c r="B150">
        <v>266268</v>
      </c>
    </row>
    <row r="151" spans="1:2" x14ac:dyDescent="0.25">
      <c r="A151" s="162">
        <v>6265472</v>
      </c>
      <c r="B151">
        <v>75000</v>
      </c>
    </row>
    <row r="152" spans="1:2" x14ac:dyDescent="0.25">
      <c r="A152" s="162">
        <v>6266118</v>
      </c>
      <c r="B152">
        <v>10000</v>
      </c>
    </row>
    <row r="153" spans="1:2" x14ac:dyDescent="0.25">
      <c r="A153" s="162">
        <v>6374958</v>
      </c>
      <c r="B153">
        <v>73455</v>
      </c>
    </row>
    <row r="154" spans="1:2" x14ac:dyDescent="0.25">
      <c r="A154" s="162">
        <v>6492623</v>
      </c>
      <c r="B154">
        <v>0</v>
      </c>
    </row>
    <row r="155" spans="1:2" x14ac:dyDescent="0.25">
      <c r="A155" s="162">
        <v>6552817</v>
      </c>
      <c r="B155">
        <v>551553</v>
      </c>
    </row>
    <row r="156" spans="1:2" x14ac:dyDescent="0.25">
      <c r="A156" s="162">
        <v>6650186</v>
      </c>
      <c r="B156">
        <v>158561</v>
      </c>
    </row>
    <row r="157" spans="1:2" x14ac:dyDescent="0.25">
      <c r="A157" s="162">
        <v>6719009</v>
      </c>
      <c r="B157">
        <v>111344</v>
      </c>
    </row>
    <row r="158" spans="1:2" x14ac:dyDescent="0.25">
      <c r="A158" s="162">
        <v>6722018</v>
      </c>
      <c r="B158">
        <v>78398.09</v>
      </c>
    </row>
    <row r="159" spans="1:2" x14ac:dyDescent="0.25">
      <c r="A159" s="162">
        <v>6732891</v>
      </c>
      <c r="B159">
        <v>0</v>
      </c>
    </row>
    <row r="160" spans="1:2" x14ac:dyDescent="0.25">
      <c r="A160" s="162">
        <v>6769479</v>
      </c>
      <c r="B160">
        <v>232000</v>
      </c>
    </row>
    <row r="161" spans="1:2" x14ac:dyDescent="0.25">
      <c r="A161" s="162">
        <v>6790491</v>
      </c>
      <c r="B161">
        <v>253055</v>
      </c>
    </row>
    <row r="162" spans="1:2" x14ac:dyDescent="0.25">
      <c r="A162" s="162">
        <v>6806376</v>
      </c>
      <c r="B162">
        <v>100000</v>
      </c>
    </row>
    <row r="163" spans="1:2" x14ac:dyDescent="0.25">
      <c r="A163" s="162">
        <v>6836867</v>
      </c>
      <c r="B163">
        <v>0</v>
      </c>
    </row>
    <row r="164" spans="1:2" x14ac:dyDescent="0.25">
      <c r="A164" s="162">
        <v>6907978</v>
      </c>
      <c r="B164">
        <v>95000</v>
      </c>
    </row>
    <row r="165" spans="1:2" x14ac:dyDescent="0.25">
      <c r="A165" s="162">
        <v>6940940</v>
      </c>
      <c r="B165">
        <v>360000</v>
      </c>
    </row>
    <row r="166" spans="1:2" x14ac:dyDescent="0.25">
      <c r="A166" s="162">
        <v>6967411</v>
      </c>
      <c r="B166">
        <v>519797</v>
      </c>
    </row>
    <row r="167" spans="1:2" x14ac:dyDescent="0.25">
      <c r="A167" s="162">
        <v>7007714</v>
      </c>
      <c r="B167">
        <v>22000</v>
      </c>
    </row>
    <row r="168" spans="1:2" x14ac:dyDescent="0.25">
      <c r="A168" s="162">
        <v>7044506</v>
      </c>
      <c r="B168">
        <v>350000</v>
      </c>
    </row>
    <row r="169" spans="1:2" x14ac:dyDescent="0.25">
      <c r="A169" s="162">
        <v>7080749</v>
      </c>
      <c r="B169">
        <v>977438</v>
      </c>
    </row>
    <row r="170" spans="1:2" x14ac:dyDescent="0.25">
      <c r="A170" s="162">
        <v>7135154</v>
      </c>
      <c r="B170">
        <v>722000</v>
      </c>
    </row>
    <row r="171" spans="1:2" x14ac:dyDescent="0.25">
      <c r="A171" s="162">
        <v>7143232</v>
      </c>
      <c r="B171">
        <v>178266</v>
      </c>
    </row>
    <row r="172" spans="1:2" x14ac:dyDescent="0.25">
      <c r="A172" s="162">
        <v>7177985</v>
      </c>
      <c r="B172">
        <v>0</v>
      </c>
    </row>
    <row r="173" spans="1:2" x14ac:dyDescent="0.25">
      <c r="A173" s="162">
        <v>7207666</v>
      </c>
      <c r="B173">
        <v>0</v>
      </c>
    </row>
    <row r="174" spans="1:2" x14ac:dyDescent="0.25">
      <c r="A174" s="162">
        <v>7228496</v>
      </c>
      <c r="B174">
        <v>100000</v>
      </c>
    </row>
    <row r="175" spans="1:2" x14ac:dyDescent="0.25">
      <c r="A175" s="162">
        <v>7253089</v>
      </c>
      <c r="B175">
        <v>56424</v>
      </c>
    </row>
    <row r="176" spans="1:2" x14ac:dyDescent="0.25">
      <c r="A176" s="162">
        <v>7326055</v>
      </c>
      <c r="B176">
        <v>0</v>
      </c>
    </row>
    <row r="177" spans="1:2" x14ac:dyDescent="0.25">
      <c r="A177" s="162">
        <v>7356784</v>
      </c>
      <c r="B177">
        <v>145688</v>
      </c>
    </row>
    <row r="178" spans="1:2" x14ac:dyDescent="0.25">
      <c r="A178" s="162">
        <v>7455227</v>
      </c>
      <c r="B178">
        <v>47677</v>
      </c>
    </row>
    <row r="179" spans="1:2" x14ac:dyDescent="0.25">
      <c r="A179" s="162">
        <v>7471836</v>
      </c>
      <c r="B179">
        <v>15000</v>
      </c>
    </row>
    <row r="180" spans="1:2" x14ac:dyDescent="0.25">
      <c r="A180" s="162">
        <v>7472903</v>
      </c>
      <c r="B180">
        <v>0</v>
      </c>
    </row>
    <row r="181" spans="1:2" x14ac:dyDescent="0.25">
      <c r="A181" s="162">
        <v>7555345</v>
      </c>
      <c r="B181">
        <v>0</v>
      </c>
    </row>
    <row r="182" spans="1:2" x14ac:dyDescent="0.25">
      <c r="A182" s="162">
        <v>7559709</v>
      </c>
      <c r="B182">
        <v>1341417</v>
      </c>
    </row>
    <row r="183" spans="1:2" x14ac:dyDescent="0.25">
      <c r="A183" s="162">
        <v>7663161</v>
      </c>
      <c r="B183">
        <v>178506</v>
      </c>
    </row>
    <row r="184" spans="1:2" x14ac:dyDescent="0.25">
      <c r="A184" s="162">
        <v>7665554</v>
      </c>
      <c r="B184">
        <v>0</v>
      </c>
    </row>
    <row r="185" spans="1:2" x14ac:dyDescent="0.25">
      <c r="A185" s="162">
        <v>7734736</v>
      </c>
      <c r="B185">
        <v>137066</v>
      </c>
    </row>
    <row r="186" spans="1:2" x14ac:dyDescent="0.25">
      <c r="A186" s="162">
        <v>7759833</v>
      </c>
      <c r="B186">
        <v>25000</v>
      </c>
    </row>
    <row r="187" spans="1:2" x14ac:dyDescent="0.25">
      <c r="A187" s="162">
        <v>7777619</v>
      </c>
      <c r="B187">
        <v>0</v>
      </c>
    </row>
    <row r="188" spans="1:2" x14ac:dyDescent="0.25">
      <c r="A188" s="162">
        <v>7826049</v>
      </c>
      <c r="B188">
        <v>0</v>
      </c>
    </row>
    <row r="189" spans="1:2" x14ac:dyDescent="0.25">
      <c r="A189" s="162">
        <v>7885329</v>
      </c>
      <c r="B189">
        <v>112151</v>
      </c>
    </row>
    <row r="190" spans="1:2" x14ac:dyDescent="0.25">
      <c r="A190" s="162">
        <v>7890129</v>
      </c>
      <c r="B190">
        <v>0</v>
      </c>
    </row>
    <row r="191" spans="1:2" x14ac:dyDescent="0.25">
      <c r="A191" s="162">
        <v>7901485</v>
      </c>
      <c r="B191">
        <v>0</v>
      </c>
    </row>
    <row r="192" spans="1:2" x14ac:dyDescent="0.25">
      <c r="A192" s="162">
        <v>7923702</v>
      </c>
      <c r="B192">
        <v>0</v>
      </c>
    </row>
    <row r="193" spans="1:2" x14ac:dyDescent="0.25">
      <c r="A193" s="162">
        <v>8054292</v>
      </c>
      <c r="B193">
        <v>56884</v>
      </c>
    </row>
    <row r="194" spans="1:2" x14ac:dyDescent="0.25">
      <c r="A194" s="162">
        <v>8170444</v>
      </c>
      <c r="B194">
        <v>0</v>
      </c>
    </row>
    <row r="195" spans="1:2" x14ac:dyDescent="0.25">
      <c r="A195" s="162">
        <v>8208204</v>
      </c>
      <c r="B195">
        <v>382212</v>
      </c>
    </row>
    <row r="196" spans="1:2" x14ac:dyDescent="0.25">
      <c r="A196" s="162">
        <v>8227630</v>
      </c>
      <c r="B196">
        <v>0</v>
      </c>
    </row>
    <row r="197" spans="1:2" x14ac:dyDescent="0.25">
      <c r="A197" s="162">
        <v>8306216</v>
      </c>
      <c r="B197">
        <v>1150228</v>
      </c>
    </row>
    <row r="198" spans="1:2" x14ac:dyDescent="0.25">
      <c r="A198" s="162">
        <v>8340162</v>
      </c>
      <c r="B198">
        <v>0</v>
      </c>
    </row>
    <row r="199" spans="1:2" x14ac:dyDescent="0.25">
      <c r="A199" s="162">
        <v>8384795</v>
      </c>
      <c r="B199">
        <v>419096</v>
      </c>
    </row>
    <row r="200" spans="1:2" x14ac:dyDescent="0.25">
      <c r="A200" s="162">
        <v>8396068</v>
      </c>
      <c r="B200">
        <v>66749</v>
      </c>
    </row>
    <row r="201" spans="1:2" x14ac:dyDescent="0.25">
      <c r="A201" s="162">
        <v>8419868</v>
      </c>
      <c r="B201">
        <v>472712</v>
      </c>
    </row>
    <row r="202" spans="1:2" x14ac:dyDescent="0.25">
      <c r="A202" s="162">
        <v>8466886</v>
      </c>
      <c r="B202">
        <v>0</v>
      </c>
    </row>
    <row r="203" spans="1:2" x14ac:dyDescent="0.25">
      <c r="A203" s="162">
        <v>8492814</v>
      </c>
      <c r="B203">
        <v>217929</v>
      </c>
    </row>
    <row r="204" spans="1:2" x14ac:dyDescent="0.25">
      <c r="A204" s="162">
        <v>8501960</v>
      </c>
      <c r="B204">
        <v>0</v>
      </c>
    </row>
    <row r="205" spans="1:2" x14ac:dyDescent="0.25">
      <c r="A205" s="162">
        <v>8533092</v>
      </c>
      <c r="B205">
        <v>157684</v>
      </c>
    </row>
    <row r="206" spans="1:2" x14ac:dyDescent="0.25">
      <c r="A206" s="162">
        <v>8588423</v>
      </c>
      <c r="B206">
        <v>0</v>
      </c>
    </row>
    <row r="207" spans="1:2" x14ac:dyDescent="0.25">
      <c r="A207" s="162">
        <v>8598927</v>
      </c>
      <c r="B207">
        <v>0</v>
      </c>
    </row>
    <row r="208" spans="1:2" x14ac:dyDescent="0.25">
      <c r="A208" s="162">
        <v>8609487</v>
      </c>
      <c r="B208">
        <v>0</v>
      </c>
    </row>
    <row r="209" spans="1:2" x14ac:dyDescent="0.25">
      <c r="A209" s="162">
        <v>8696715</v>
      </c>
      <c r="B209">
        <v>0</v>
      </c>
    </row>
    <row r="210" spans="1:2" x14ac:dyDescent="0.25">
      <c r="A210" s="162">
        <v>8719331</v>
      </c>
      <c r="B210">
        <v>0</v>
      </c>
    </row>
    <row r="211" spans="1:2" x14ac:dyDescent="0.25">
      <c r="A211" s="162">
        <v>8752756</v>
      </c>
      <c r="B211">
        <v>0</v>
      </c>
    </row>
    <row r="212" spans="1:2" x14ac:dyDescent="0.25">
      <c r="A212" s="162">
        <v>8760544</v>
      </c>
      <c r="B212">
        <v>0</v>
      </c>
    </row>
    <row r="213" spans="1:2" x14ac:dyDescent="0.25">
      <c r="A213" s="162">
        <v>8788790</v>
      </c>
      <c r="B213">
        <v>0</v>
      </c>
    </row>
    <row r="214" spans="1:2" x14ac:dyDescent="0.25">
      <c r="A214" s="162">
        <v>8791447</v>
      </c>
      <c r="B214">
        <v>40396</v>
      </c>
    </row>
    <row r="215" spans="1:2" x14ac:dyDescent="0.25">
      <c r="A215" s="162">
        <v>8899363</v>
      </c>
      <c r="B215">
        <v>9000</v>
      </c>
    </row>
    <row r="216" spans="1:2" x14ac:dyDescent="0.25">
      <c r="A216" s="162">
        <v>8900016</v>
      </c>
      <c r="B216">
        <v>0</v>
      </c>
    </row>
    <row r="217" spans="1:2" x14ac:dyDescent="0.25">
      <c r="A217" s="162">
        <v>8935632</v>
      </c>
      <c r="B217">
        <v>104702</v>
      </c>
    </row>
    <row r="218" spans="1:2" x14ac:dyDescent="0.25">
      <c r="A218" s="162">
        <v>9072226</v>
      </c>
      <c r="B218">
        <v>0</v>
      </c>
    </row>
    <row r="219" spans="1:2" x14ac:dyDescent="0.25">
      <c r="A219" s="162">
        <v>9076392</v>
      </c>
      <c r="B219">
        <v>0</v>
      </c>
    </row>
    <row r="220" spans="1:2" x14ac:dyDescent="0.25">
      <c r="A220" s="162">
        <v>9139875</v>
      </c>
      <c r="B220">
        <v>0</v>
      </c>
    </row>
    <row r="221" spans="1:2" x14ac:dyDescent="0.25">
      <c r="A221" s="162">
        <v>9220832</v>
      </c>
      <c r="B221">
        <v>150566</v>
      </c>
    </row>
    <row r="222" spans="1:2" x14ac:dyDescent="0.25">
      <c r="A222" s="162">
        <v>9266427</v>
      </c>
      <c r="B222">
        <v>0</v>
      </c>
    </row>
    <row r="223" spans="1:2" x14ac:dyDescent="0.25">
      <c r="A223" s="162">
        <v>9274680</v>
      </c>
      <c r="B223">
        <v>0</v>
      </c>
    </row>
    <row r="224" spans="1:2" x14ac:dyDescent="0.25">
      <c r="A224" s="162">
        <v>9313088</v>
      </c>
      <c r="B224">
        <v>0</v>
      </c>
    </row>
    <row r="225" spans="1:2" x14ac:dyDescent="0.25">
      <c r="A225" s="162">
        <v>9314906</v>
      </c>
      <c r="B225">
        <v>0</v>
      </c>
    </row>
    <row r="226" spans="1:2" x14ac:dyDescent="0.25">
      <c r="A226" s="162">
        <v>9321887</v>
      </c>
      <c r="B226">
        <v>70000</v>
      </c>
    </row>
    <row r="227" spans="1:2" x14ac:dyDescent="0.25">
      <c r="A227" s="162">
        <v>9349276</v>
      </c>
      <c r="B227">
        <v>195929</v>
      </c>
    </row>
    <row r="228" spans="1:2" x14ac:dyDescent="0.25">
      <c r="A228" s="162">
        <v>9397048</v>
      </c>
      <c r="B228">
        <v>0</v>
      </c>
    </row>
    <row r="229" spans="1:2" x14ac:dyDescent="0.25">
      <c r="A229" s="162">
        <v>9450071</v>
      </c>
      <c r="B229">
        <v>0</v>
      </c>
    </row>
    <row r="230" spans="1:2" x14ac:dyDescent="0.25">
      <c r="A230" s="162">
        <v>9450189</v>
      </c>
      <c r="B230">
        <v>249066</v>
      </c>
    </row>
    <row r="231" spans="1:2" x14ac:dyDescent="0.25">
      <c r="A231" s="162">
        <v>9543067</v>
      </c>
      <c r="B231">
        <v>120000</v>
      </c>
    </row>
    <row r="232" spans="1:2" x14ac:dyDescent="0.25">
      <c r="A232" s="162">
        <v>9603734</v>
      </c>
      <c r="B232">
        <v>101500</v>
      </c>
    </row>
    <row r="233" spans="1:2" x14ac:dyDescent="0.25">
      <c r="A233" s="162">
        <v>9621480</v>
      </c>
      <c r="B233">
        <v>22848</v>
      </c>
    </row>
    <row r="234" spans="1:2" x14ac:dyDescent="0.25">
      <c r="A234" s="162">
        <v>9653966</v>
      </c>
      <c r="B234">
        <v>0</v>
      </c>
    </row>
    <row r="235" spans="1:2" x14ac:dyDescent="0.25">
      <c r="A235" s="162">
        <v>9725207</v>
      </c>
      <c r="B235">
        <v>18000</v>
      </c>
    </row>
    <row r="236" spans="1:2" x14ac:dyDescent="0.25">
      <c r="A236" s="162">
        <v>9813481</v>
      </c>
      <c r="B236">
        <v>501948</v>
      </c>
    </row>
    <row r="237" spans="1:2" x14ac:dyDescent="0.25">
      <c r="A237" s="162">
        <v>9835515</v>
      </c>
      <c r="B237">
        <v>0</v>
      </c>
    </row>
    <row r="238" spans="1:2" x14ac:dyDescent="0.25">
      <c r="A238" s="162">
        <v>9860755</v>
      </c>
      <c r="B238">
        <v>105000</v>
      </c>
    </row>
    <row r="239" spans="1:2" x14ac:dyDescent="0.25">
      <c r="A239" s="162">
        <v>9864940</v>
      </c>
      <c r="B239">
        <v>0</v>
      </c>
    </row>
    <row r="240" spans="1:2" x14ac:dyDescent="0.25">
      <c r="A240" s="162">
        <v>9958898</v>
      </c>
      <c r="B240">
        <v>518892</v>
      </c>
    </row>
    <row r="241" spans="1:2" x14ac:dyDescent="0.25">
      <c r="A241" s="162">
        <v>9964505</v>
      </c>
      <c r="B241">
        <v>0</v>
      </c>
    </row>
  </sheetData>
  <autoFilter ref="A1:B1" xr:uid="{0938FBF6-6A4F-4FAB-BD67-B0B6E19488DF}">
    <sortState xmlns:xlrd2="http://schemas.microsoft.com/office/spreadsheetml/2017/richdata2" ref="A2:B241">
      <sortCondition ref="A1"/>
    </sortState>
  </autoFilter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D694-335B-4EEE-A8A3-BDF4807EB960}">
  <sheetPr>
    <tabColor rgb="FF92D050"/>
    <pageSetUpPr fitToPage="1"/>
  </sheetPr>
  <dimension ref="A1:VT260"/>
  <sheetViews>
    <sheetView zoomScaleNormal="100" zoomScaleSheetLayoutView="85" workbookViewId="0">
      <pane xSplit="5" ySplit="4" topLeftCell="F5" activePane="bottomRight" state="frozen"/>
      <selection pane="topRight" activeCell="I1" sqref="I1"/>
      <selection pane="bottomLeft" activeCell="A4" sqref="A4"/>
      <selection pane="bottomRight" activeCell="AH11" sqref="AH11"/>
    </sheetView>
  </sheetViews>
  <sheetFormatPr defaultColWidth="9.28515625" defaultRowHeight="11.25" outlineLevelCol="1" x14ac:dyDescent="0.25"/>
  <cols>
    <col min="1" max="1" width="23.42578125" style="5" bestFit="1" customWidth="1"/>
    <col min="2" max="2" width="7.7109375" style="4" customWidth="1"/>
    <col min="3" max="3" width="11.7109375" style="4" customWidth="1"/>
    <col min="4" max="4" width="7.85546875" style="4" customWidth="1"/>
    <col min="5" max="5" width="22.7109375" style="5" customWidth="1"/>
    <col min="6" max="6" width="11.42578125" style="4" customWidth="1"/>
    <col min="7" max="9" width="13" style="5" hidden="1" customWidth="1" outlineLevel="1"/>
    <col min="10" max="10" width="13.85546875" style="5" hidden="1" customWidth="1" outlineLevel="1"/>
    <col min="11" max="16" width="13" style="5" hidden="1" customWidth="1" outlineLevel="1"/>
    <col min="17" max="17" width="13" style="5" hidden="1" customWidth="1" collapsed="1"/>
    <col min="18" max="20" width="13" style="5" hidden="1" customWidth="1"/>
    <col min="21" max="21" width="13" style="5" customWidth="1"/>
    <col min="22" max="23" width="13" style="5" hidden="1" customWidth="1"/>
    <col min="24" max="25" width="14.28515625" style="5" hidden="1" customWidth="1"/>
    <col min="26" max="27" width="14.28515625" style="5" customWidth="1"/>
    <col min="28" max="29" width="14.28515625" style="5" hidden="1" customWidth="1"/>
    <col min="30" max="36" width="13" style="5" customWidth="1"/>
    <col min="37" max="37" width="17.140625" style="5" customWidth="1"/>
    <col min="38" max="45" width="12.5703125" style="5" customWidth="1"/>
    <col min="46" max="47" width="13.28515625" style="5" customWidth="1"/>
    <col min="48" max="49" width="12.85546875" style="5" customWidth="1"/>
    <col min="50" max="16384" width="9.28515625" style="5"/>
  </cols>
  <sheetData>
    <row r="1" spans="1:592" ht="21.75" customHeight="1" thickBot="1" x14ac:dyDescent="0.3">
      <c r="E1" s="239" t="s">
        <v>232</v>
      </c>
      <c r="G1" s="176" t="s">
        <v>233</v>
      </c>
      <c r="H1" s="175"/>
      <c r="I1" s="75" t="s">
        <v>234</v>
      </c>
      <c r="J1" s="172">
        <f>J3+K3+L3+M3</f>
        <v>929706135</v>
      </c>
      <c r="K1" s="179"/>
      <c r="Q1" s="176" t="s">
        <v>235</v>
      </c>
      <c r="S1" s="190" t="s">
        <v>236</v>
      </c>
    </row>
    <row r="2" spans="1:592" ht="12" customHeight="1" thickBot="1" x14ac:dyDescent="0.3">
      <c r="A2" s="235"/>
      <c r="C2" s="231"/>
      <c r="D2" s="232">
        <f>SUBTOTAL(3,D5:D249)</f>
        <v>245</v>
      </c>
      <c r="E2" s="240" t="s">
        <v>237</v>
      </c>
      <c r="G2" s="177"/>
      <c r="H2" s="177"/>
      <c r="I2" s="178"/>
      <c r="J2" s="177"/>
      <c r="K2" s="177"/>
      <c r="L2" s="177"/>
      <c r="M2" s="177"/>
      <c r="N2" s="180"/>
      <c r="U2" s="42">
        <f>SUBTOTAL(9,U5:U251)</f>
        <v>30000000</v>
      </c>
      <c r="V2" s="167"/>
      <c r="W2" s="167"/>
    </row>
    <row r="3" spans="1:592" s="7" customFormat="1" ht="12" thickBot="1" x14ac:dyDescent="0.3">
      <c r="A3" s="233"/>
      <c r="B3" s="236"/>
      <c r="C3" s="237"/>
      <c r="D3" s="236"/>
      <c r="E3" s="234"/>
      <c r="F3" s="238"/>
      <c r="G3" s="188">
        <f t="shared" ref="G3:P3" si="0">SUBTOTAL(9,G5:G249)</f>
        <v>762507774.59000003</v>
      </c>
      <c r="H3" s="76">
        <f t="shared" si="0"/>
        <v>25094386.299999997</v>
      </c>
      <c r="I3" s="76">
        <f t="shared" si="0"/>
        <v>77309974.109999999</v>
      </c>
      <c r="J3" s="76">
        <f t="shared" si="0"/>
        <v>864912135</v>
      </c>
      <c r="K3" s="76">
        <f t="shared" si="0"/>
        <v>10000000</v>
      </c>
      <c r="L3" s="76">
        <f t="shared" si="0"/>
        <v>7000000</v>
      </c>
      <c r="M3" s="76">
        <f t="shared" si="0"/>
        <v>47794000</v>
      </c>
      <c r="N3" s="76">
        <f t="shared" si="0"/>
        <v>36180992.82</v>
      </c>
      <c r="O3" s="76">
        <f t="shared" si="0"/>
        <v>114715613.76999998</v>
      </c>
      <c r="P3" s="76">
        <f t="shared" si="0"/>
        <v>4432000</v>
      </c>
      <c r="Q3" s="76">
        <f>SUBTOTAL(9,Q5:Q260)</f>
        <v>791137764</v>
      </c>
      <c r="R3" s="76">
        <f>SUBTOTAL(9,R5:R260)</f>
        <v>7910129</v>
      </c>
      <c r="S3" s="76">
        <f>SUBTOTAL(9,S5:S260)</f>
        <v>117868272</v>
      </c>
      <c r="T3" s="76">
        <f>SUBTOTAL(9,T5:T260)</f>
        <v>916916165</v>
      </c>
      <c r="U3" s="76">
        <f>SUBTOTAL(9,U5:U251)</f>
        <v>30000000</v>
      </c>
      <c r="V3" s="170">
        <f t="shared" ref="V3:AC3" si="1">SUBTOTAL(9,V5:V260)</f>
        <v>1174645</v>
      </c>
      <c r="W3" s="170">
        <f t="shared" si="1"/>
        <v>4610000</v>
      </c>
      <c r="X3" s="251">
        <f>SUBTOTAL(9,X5:X260)</f>
        <v>952700810</v>
      </c>
      <c r="Y3" s="187">
        <f t="shared" si="1"/>
        <v>0</v>
      </c>
      <c r="Z3" s="188">
        <f t="shared" si="1"/>
        <v>0</v>
      </c>
      <c r="AA3" s="188">
        <f t="shared" si="1"/>
        <v>0</v>
      </c>
      <c r="AB3" s="188">
        <f t="shared" si="1"/>
        <v>5326000</v>
      </c>
      <c r="AC3" s="171">
        <f t="shared" si="1"/>
        <v>5326000</v>
      </c>
    </row>
    <row r="4" spans="1:592" s="9" customFormat="1" ht="34.5" customHeight="1" thickBot="1" x14ac:dyDescent="0.3">
      <c r="A4" s="81" t="s">
        <v>238</v>
      </c>
      <c r="B4" s="82" t="s">
        <v>2</v>
      </c>
      <c r="C4" s="82" t="s">
        <v>239</v>
      </c>
      <c r="D4" s="82" t="s">
        <v>240</v>
      </c>
      <c r="E4" s="82" t="s">
        <v>241</v>
      </c>
      <c r="F4" s="82" t="s">
        <v>242</v>
      </c>
      <c r="G4" s="173" t="s">
        <v>243</v>
      </c>
      <c r="H4" s="173" t="s">
        <v>244</v>
      </c>
      <c r="I4" s="173" t="s">
        <v>245</v>
      </c>
      <c r="J4" s="173" t="s">
        <v>246</v>
      </c>
      <c r="K4" s="173" t="s">
        <v>247</v>
      </c>
      <c r="L4" s="173" t="s">
        <v>248</v>
      </c>
      <c r="M4" s="173" t="s">
        <v>249</v>
      </c>
      <c r="N4" s="174" t="s">
        <v>250</v>
      </c>
      <c r="O4" s="174" t="s">
        <v>251</v>
      </c>
      <c r="P4" s="184" t="s">
        <v>252</v>
      </c>
      <c r="Q4" s="112" t="s">
        <v>253</v>
      </c>
      <c r="R4" s="83" t="s">
        <v>254</v>
      </c>
      <c r="S4" s="83" t="s">
        <v>255</v>
      </c>
      <c r="T4" s="83" t="s">
        <v>256</v>
      </c>
      <c r="U4" s="83" t="s">
        <v>257</v>
      </c>
      <c r="V4" s="166" t="s">
        <v>258</v>
      </c>
      <c r="W4" s="166" t="s">
        <v>259</v>
      </c>
      <c r="X4" s="252" t="s">
        <v>260</v>
      </c>
      <c r="Y4" s="186" t="s">
        <v>261</v>
      </c>
      <c r="Z4" s="189" t="s">
        <v>262</v>
      </c>
      <c r="AA4" s="174" t="s">
        <v>263</v>
      </c>
      <c r="AB4" s="174" t="s">
        <v>264</v>
      </c>
      <c r="AC4" s="184" t="s">
        <v>265</v>
      </c>
      <c r="AD4" s="8" t="s">
        <v>483</v>
      </c>
      <c r="AE4" s="8" t="s">
        <v>484</v>
      </c>
      <c r="AF4" s="8" t="s">
        <v>485</v>
      </c>
      <c r="AG4" s="8" t="s">
        <v>486</v>
      </c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</row>
    <row r="5" spans="1:592" s="13" customFormat="1" ht="21.75" customHeight="1" thickBot="1" x14ac:dyDescent="0.25">
      <c r="A5" s="77" t="s">
        <v>266</v>
      </c>
      <c r="B5" s="78">
        <v>65635591</v>
      </c>
      <c r="C5" s="78" t="s">
        <v>267</v>
      </c>
      <c r="D5" s="78">
        <v>6552817</v>
      </c>
      <c r="E5" s="79" t="s">
        <v>268</v>
      </c>
      <c r="F5" s="191" t="s">
        <v>269</v>
      </c>
      <c r="G5" s="196">
        <f>IFERROR(VLOOKUP(D5,List1!$A$5:$B$227,2,FALSE),"0")</f>
        <v>1723000</v>
      </c>
      <c r="H5" s="197" t="str">
        <f>IFERROR(VLOOKUP(D5,List1!$D$5:$E$41,2,FALSE),"0")</f>
        <v>0</v>
      </c>
      <c r="I5" s="197">
        <f>IFERROR(VLOOKUP(D5,List1!$G$5:$H$227,2,FALSE),"0")</f>
        <v>429374</v>
      </c>
      <c r="J5" s="198">
        <f>G5+H5+I5</f>
        <v>2152374</v>
      </c>
      <c r="K5" s="197">
        <f>IFERROR(VLOOKUP(D5,List1!$J$5:$K$227,2,FALSE),"0")</f>
        <v>76000</v>
      </c>
      <c r="L5" s="197">
        <f>IFERROR(VLOOKUP(D5,List1!$M$5:$N$112,2,FALSE),"0")</f>
        <v>32000</v>
      </c>
      <c r="M5" s="199">
        <v>0</v>
      </c>
      <c r="N5" s="197">
        <f>VLOOKUP($D$5:$D$251,List2!$A$2:$B$241,2,FALSE)</f>
        <v>551553</v>
      </c>
      <c r="O5" s="197">
        <f>IFERROR(VLOOKUP($D$5:$D$260,List1!$Y$5:$Z$244,2,FALSE),0)</f>
        <v>0</v>
      </c>
      <c r="P5" s="200">
        <f>IFERROR(VLOOKUP($D$5:$D$260,List1!$AB$5:$AC$244,2,FALSE),0)</f>
        <v>650000</v>
      </c>
      <c r="Q5" s="196">
        <f>IFERROR(VLOOKUP($D$5:$D$260,List1!$S$5:$T$231,2,FALSE),0)</f>
        <v>2198234</v>
      </c>
      <c r="R5" s="197">
        <v>0</v>
      </c>
      <c r="S5" s="197">
        <f>IFERROR(VLOOKUP($D$5:$D$260,List1!$AE$5:$AF$231,2,FALSE),0)</f>
        <v>650000</v>
      </c>
      <c r="T5" s="197">
        <f>Q5+R5+S5</f>
        <v>2848234</v>
      </c>
      <c r="U5" s="197">
        <f>IFERROR(VLOOKUP(D5,List1!$P$5:$Q$110,2,FALSE),"0")</f>
        <v>307000</v>
      </c>
      <c r="V5" s="197">
        <v>0</v>
      </c>
      <c r="W5" s="242">
        <v>750000</v>
      </c>
      <c r="X5" s="200">
        <f>T5+U5+V5+W5</f>
        <v>3905234</v>
      </c>
      <c r="Y5" s="196"/>
      <c r="Z5" s="197">
        <f>IFERROR(VLOOKUP($D$5:$D$260,#REF!,3,FALSE),0)</f>
        <v>0</v>
      </c>
      <c r="AA5" s="245">
        <f>IFERROR(VLOOKUP($D$5:$D$260,#REF!,3,FALSE),0)</f>
        <v>0</v>
      </c>
      <c r="AB5" s="242">
        <v>850000</v>
      </c>
      <c r="AC5" s="200">
        <f>Z5+AA5+Y5+AB5</f>
        <v>850000</v>
      </c>
      <c r="AD5" s="259">
        <f>(Z5+AA5)-U5</f>
        <v>-307000</v>
      </c>
      <c r="AE5" s="260">
        <f>IFERROR(((Z5+AA5)-U5)/U5,0)</f>
        <v>-1</v>
      </c>
      <c r="AF5" s="260">
        <f>IFERROR((Z5-U5)/U5,0)</f>
        <v>-1</v>
      </c>
      <c r="AG5" s="260">
        <f>IFERROR((AA5-U5)/U5,0)</f>
        <v>-1</v>
      </c>
      <c r="AK5" s="392" t="s">
        <v>487</v>
      </c>
      <c r="AL5" s="393"/>
      <c r="AM5" s="393"/>
      <c r="AN5" s="393"/>
      <c r="AO5" s="393"/>
      <c r="AP5" s="393"/>
      <c r="AQ5" s="393"/>
      <c r="AR5" s="393"/>
      <c r="AS5" s="393"/>
      <c r="AT5" s="393"/>
      <c r="AU5" s="393"/>
      <c r="AV5" s="393"/>
      <c r="AW5" s="394"/>
    </row>
    <row r="6" spans="1:592" ht="21.75" thickBot="1" x14ac:dyDescent="0.25">
      <c r="A6" s="10" t="s">
        <v>266</v>
      </c>
      <c r="B6" s="11">
        <v>65635591</v>
      </c>
      <c r="C6" s="11" t="s">
        <v>267</v>
      </c>
      <c r="D6" s="11">
        <v>4142726</v>
      </c>
      <c r="E6" s="228" t="s">
        <v>270</v>
      </c>
      <c r="F6" s="192" t="s">
        <v>271</v>
      </c>
      <c r="G6" s="201" t="str">
        <f>IFERROR(VLOOKUP(D6,List1!$A$5:$B$227,2,FALSE),"0")</f>
        <v>0</v>
      </c>
      <c r="H6" s="41" t="str">
        <f>IFERROR(VLOOKUP(D6,List1!$D$5:$E$41,2,FALSE),"0")</f>
        <v>0</v>
      </c>
      <c r="I6" s="41" t="str">
        <f>IFERROR(VLOOKUP(D6,List1!$G$5:$H$227,2,FALSE),"0")</f>
        <v>0</v>
      </c>
      <c r="J6" s="40">
        <f t="shared" ref="J6:J69" si="2">G6+H6+I6</f>
        <v>0</v>
      </c>
      <c r="K6" s="41">
        <f>IFERROR(VLOOKUP(D6,List1!$J$5:$K$227,2,FALSE),"0")</f>
        <v>52000</v>
      </c>
      <c r="L6" s="41" t="str">
        <f>IFERROR(VLOOKUP(D6,List1!$M$5:$N$112,2,FALSE),"0")</f>
        <v>0</v>
      </c>
      <c r="M6" s="43">
        <v>0</v>
      </c>
      <c r="N6" s="80">
        <f>VLOOKUP($D$5:$D$251,List2!$A$2:$B$241,2,FALSE)</f>
        <v>705616</v>
      </c>
      <c r="O6" s="80">
        <f>IFERROR(VLOOKUP($D$5:$D$260,List1!$Y$5:$Z$244,2,FALSE),0)</f>
        <v>0</v>
      </c>
      <c r="P6" s="202">
        <f>IFERROR(VLOOKUP($D$5:$D$260,List1!$AB$5:$AC$244,2,FALSE),0)</f>
        <v>571000</v>
      </c>
      <c r="Q6" s="201">
        <f>IFERROR(VLOOKUP($D$5:$D$260,List1!$S$5:$T$231,2,FALSE),0)</f>
        <v>0</v>
      </c>
      <c r="R6" s="41">
        <v>0</v>
      </c>
      <c r="S6" s="41">
        <f>IFERROR(VLOOKUP($D$5:$D$260,List1!$AE$5:$AF$231,2,FALSE),0)</f>
        <v>0</v>
      </c>
      <c r="T6" s="41">
        <f t="shared" ref="T6:T69" si="3">Q6+R6+S6</f>
        <v>0</v>
      </c>
      <c r="U6" s="41">
        <f>IFERROR(VLOOKUP(D6,List1!$P$5:$Q$110,2,FALSE),"0")</f>
        <v>142000</v>
      </c>
      <c r="V6" s="41">
        <v>0</v>
      </c>
      <c r="W6" s="248">
        <v>580000</v>
      </c>
      <c r="X6" s="211">
        <f t="shared" ref="X6:X69" si="4">T6+U6+V6+W6</f>
        <v>722000</v>
      </c>
      <c r="Y6" s="219"/>
      <c r="Z6" s="80">
        <f>IFERROR(VLOOKUP($D$5:$D$260,#REF!,3,FALSE),0)</f>
        <v>0</v>
      </c>
      <c r="AA6" s="41">
        <f>IFERROR(VLOOKUP($D$5:$D$260,#REF!,3,FALSE),0)</f>
        <v>0</v>
      </c>
      <c r="AB6" s="243">
        <v>630000</v>
      </c>
      <c r="AC6" s="202">
        <f t="shared" ref="AC6:AC69" si="5">Z6+AA6+Y6+AB6</f>
        <v>630000</v>
      </c>
      <c r="AD6" s="259">
        <f t="shared" ref="AD6:AD69" si="6">(Z6+AA6)-U6</f>
        <v>-142000</v>
      </c>
      <c r="AE6" s="260">
        <f t="shared" ref="AE6:AE69" si="7">IFERROR(((Z6+AA6)-U6)/U6,0)</f>
        <v>-1</v>
      </c>
      <c r="AF6" s="260">
        <f t="shared" ref="AF6:AF69" si="8">IFERROR((Z6-U6)/U6,0)</f>
        <v>-1</v>
      </c>
      <c r="AG6" s="260">
        <f t="shared" ref="AG6:AG69" si="9">IFERROR((AA6-U6)/U6,0)</f>
        <v>-1</v>
      </c>
      <c r="AK6" s="156" t="s">
        <v>272</v>
      </c>
      <c r="AL6" s="157">
        <v>2015</v>
      </c>
      <c r="AM6" s="157">
        <v>2016</v>
      </c>
      <c r="AN6" s="157">
        <v>2017</v>
      </c>
      <c r="AO6" s="157">
        <v>2018</v>
      </c>
      <c r="AP6" s="157">
        <v>2019</v>
      </c>
      <c r="AQ6" s="157" t="s">
        <v>273</v>
      </c>
      <c r="AR6" s="157">
        <v>2020</v>
      </c>
      <c r="AS6" s="246">
        <v>2021</v>
      </c>
      <c r="AT6" s="246" t="s">
        <v>274</v>
      </c>
      <c r="AU6" s="246" t="s">
        <v>275</v>
      </c>
      <c r="AV6" s="165">
        <v>2022</v>
      </c>
      <c r="AW6" s="185" t="s">
        <v>276</v>
      </c>
    </row>
    <row r="7" spans="1:592" ht="21.75" customHeight="1" thickBot="1" x14ac:dyDescent="0.25">
      <c r="A7" s="10" t="s">
        <v>266</v>
      </c>
      <c r="B7" s="11">
        <v>65635591</v>
      </c>
      <c r="C7" s="11" t="s">
        <v>267</v>
      </c>
      <c r="D7" s="11">
        <v>4853448</v>
      </c>
      <c r="E7" s="228" t="s">
        <v>277</v>
      </c>
      <c r="F7" s="192" t="s">
        <v>278</v>
      </c>
      <c r="G7" s="201" t="str">
        <f>IFERROR(VLOOKUP(D7,List1!$A$5:$B$227,2,FALSE),"0")</f>
        <v>0</v>
      </c>
      <c r="H7" s="41" t="str">
        <f>IFERROR(VLOOKUP(D7,List1!$D$5:$E$41,2,FALSE),"0")</f>
        <v>0</v>
      </c>
      <c r="I7" s="41" t="str">
        <f>IFERROR(VLOOKUP(D7,List1!$G$5:$H$227,2,FALSE),"0")</f>
        <v>0</v>
      </c>
      <c r="J7" s="40">
        <f t="shared" si="2"/>
        <v>0</v>
      </c>
      <c r="K7" s="41">
        <f>IFERROR(VLOOKUP(D7,List1!$J$5:$K$227,2,FALSE),"0")</f>
        <v>179000</v>
      </c>
      <c r="L7" s="41" t="str">
        <f>IFERROR(VLOOKUP(D7,List1!$M$5:$N$112,2,FALSE),"0")</f>
        <v>0</v>
      </c>
      <c r="M7" s="43">
        <v>0</v>
      </c>
      <c r="N7" s="80">
        <f>VLOOKUP($D$5:$D$251,List2!$A$2:$B$241,2,FALSE)</f>
        <v>495977</v>
      </c>
      <c r="O7" s="80">
        <f>IFERROR(VLOOKUP($D$5:$D$260,List1!$Y$5:$Z$244,2,FALSE),0)</f>
        <v>0</v>
      </c>
      <c r="P7" s="202">
        <f>IFERROR(VLOOKUP($D$5:$D$260,List1!$AB$5:$AC$244,2,FALSE),0)</f>
        <v>1000000</v>
      </c>
      <c r="Q7" s="201">
        <f>IFERROR(VLOOKUP($D$5:$D$260,List1!$S$5:$T$231,2,FALSE),0)</f>
        <v>0</v>
      </c>
      <c r="R7" s="41">
        <v>0</v>
      </c>
      <c r="S7" s="41">
        <f>IFERROR(VLOOKUP($D$5:$D$260,List1!$AE$5:$AF$231,2,FALSE),0)</f>
        <v>0</v>
      </c>
      <c r="T7" s="41">
        <f t="shared" si="3"/>
        <v>0</v>
      </c>
      <c r="U7" s="41">
        <f>IFERROR(VLOOKUP(D7,List1!$P$5:$Q$110,2,FALSE),"0")</f>
        <v>484000</v>
      </c>
      <c r="V7" s="41">
        <v>0</v>
      </c>
      <c r="W7" s="248">
        <v>1000000</v>
      </c>
      <c r="X7" s="211">
        <f t="shared" si="4"/>
        <v>1484000</v>
      </c>
      <c r="Y7" s="219"/>
      <c r="Z7" s="80">
        <f>IFERROR(VLOOKUP($D$5:$D$260,#REF!,3,FALSE),0)</f>
        <v>0</v>
      </c>
      <c r="AA7" s="80">
        <f>IFERROR(VLOOKUP($D$5:$D$260,#REF!,3,FALSE),0)</f>
        <v>0</v>
      </c>
      <c r="AB7" s="243">
        <v>1150000</v>
      </c>
      <c r="AC7" s="202">
        <f t="shared" si="5"/>
        <v>1150000</v>
      </c>
      <c r="AD7" s="259">
        <f t="shared" si="6"/>
        <v>-484000</v>
      </c>
      <c r="AE7" s="260">
        <f t="shared" si="7"/>
        <v>-1</v>
      </c>
      <c r="AF7" s="260">
        <f t="shared" si="8"/>
        <v>-1</v>
      </c>
      <c r="AG7" s="260">
        <f t="shared" si="9"/>
        <v>-1</v>
      </c>
      <c r="AK7" s="158" t="s">
        <v>279</v>
      </c>
      <c r="AL7" s="255">
        <v>346104000</v>
      </c>
      <c r="AM7" s="255">
        <v>368341000</v>
      </c>
      <c r="AN7" s="255">
        <v>450137853</v>
      </c>
      <c r="AO7" s="255">
        <v>593038925</v>
      </c>
      <c r="AP7" s="255">
        <v>626158925</v>
      </c>
      <c r="AQ7" s="255">
        <v>667558925</v>
      </c>
      <c r="AR7" s="255">
        <v>728532845</v>
      </c>
      <c r="AS7" s="255">
        <v>834268445</v>
      </c>
      <c r="AT7" s="256">
        <v>864912135</v>
      </c>
      <c r="AU7" s="256">
        <v>912706135</v>
      </c>
      <c r="AV7" s="256">
        <v>799340165</v>
      </c>
      <c r="AW7" s="256">
        <v>916916165</v>
      </c>
    </row>
    <row r="8" spans="1:592" ht="21.75" thickBot="1" x14ac:dyDescent="0.25">
      <c r="A8" s="10" t="s">
        <v>280</v>
      </c>
      <c r="B8" s="15" t="s">
        <v>281</v>
      </c>
      <c r="C8" s="11" t="s">
        <v>282</v>
      </c>
      <c r="D8" s="11">
        <v>9450189</v>
      </c>
      <c r="E8" s="225" t="s">
        <v>283</v>
      </c>
      <c r="F8" s="192" t="s">
        <v>278</v>
      </c>
      <c r="G8" s="201">
        <f>IFERROR(VLOOKUP(D8,List1!$A$5:$B$227,2,FALSE),"0")</f>
        <v>1063000</v>
      </c>
      <c r="H8" s="41" t="str">
        <f>IFERROR(VLOOKUP(D8,List1!$D$5:$E$41,2,FALSE),"0")</f>
        <v>0</v>
      </c>
      <c r="I8" s="41">
        <f>IFERROR(VLOOKUP(D8,List1!$G$5:$H$227,2,FALSE),"0")</f>
        <v>150000</v>
      </c>
      <c r="J8" s="40">
        <f t="shared" si="2"/>
        <v>1213000</v>
      </c>
      <c r="K8" s="41" t="str">
        <f>IFERROR(VLOOKUP(D8,List1!$J$5:$K$227,2,FALSE),"0")</f>
        <v>0</v>
      </c>
      <c r="L8" s="41" t="str">
        <f>IFERROR(VLOOKUP(D8,List1!$M$5:$N$112,2,FALSE),"0")</f>
        <v>0</v>
      </c>
      <c r="M8" s="43">
        <v>0</v>
      </c>
      <c r="N8" s="80">
        <f>VLOOKUP($D$5:$D$251,List2!$A$2:$B$241,2,FALSE)</f>
        <v>249066</v>
      </c>
      <c r="O8" s="80">
        <f>IFERROR(VLOOKUP($D$5:$D$260,List1!$Y$5:$Z$244,2,FALSE),0)</f>
        <v>0</v>
      </c>
      <c r="P8" s="202">
        <f>IFERROR(VLOOKUP($D$5:$D$260,List1!$AB$5:$AC$244,2,FALSE),0)</f>
        <v>0</v>
      </c>
      <c r="Q8" s="201">
        <f>IFERROR(VLOOKUP($D$5:$D$260,List1!$S$5:$T$231,2,FALSE),0)</f>
        <v>1474706</v>
      </c>
      <c r="R8" s="41">
        <v>0</v>
      </c>
      <c r="S8" s="41">
        <f>IFERROR(VLOOKUP($D$5:$D$260,List1!$AE$5:$AF$231,2,FALSE),0)</f>
        <v>387688</v>
      </c>
      <c r="T8" s="41">
        <f t="shared" si="3"/>
        <v>1862394</v>
      </c>
      <c r="U8" s="41" t="str">
        <f>IFERROR(VLOOKUP(D8,List1!$P$5:$Q$110,2,FALSE),"0")</f>
        <v>0</v>
      </c>
      <c r="V8" s="41">
        <v>0</v>
      </c>
      <c r="W8" s="248">
        <v>0</v>
      </c>
      <c r="X8" s="211">
        <f t="shared" si="4"/>
        <v>1862394</v>
      </c>
      <c r="Y8" s="219"/>
      <c r="Z8" s="80">
        <f>IFERROR(VLOOKUP($D$5:$D$260,#REF!,3,FALSE),0)</f>
        <v>0</v>
      </c>
      <c r="AA8" s="80">
        <f>IFERROR(VLOOKUP($D$5:$D$260,#REF!,3,FALSE),0)</f>
        <v>0</v>
      </c>
      <c r="AB8" s="243">
        <v>0</v>
      </c>
      <c r="AC8" s="202">
        <f t="shared" si="5"/>
        <v>0</v>
      </c>
      <c r="AD8" s="259">
        <f t="shared" si="6"/>
        <v>0</v>
      </c>
      <c r="AE8" s="260">
        <f t="shared" si="7"/>
        <v>0</v>
      </c>
      <c r="AF8" s="260">
        <f t="shared" si="8"/>
        <v>0</v>
      </c>
      <c r="AG8" s="260">
        <f t="shared" si="9"/>
        <v>0</v>
      </c>
      <c r="AK8" s="159" t="s">
        <v>284</v>
      </c>
      <c r="AL8" s="255">
        <v>425705399</v>
      </c>
      <c r="AM8" s="255">
        <v>438480000</v>
      </c>
      <c r="AN8" s="255">
        <v>451700000</v>
      </c>
      <c r="AO8" s="255">
        <v>648091000</v>
      </c>
      <c r="AP8" s="255">
        <v>712189900</v>
      </c>
      <c r="AQ8" s="255">
        <v>712189900</v>
      </c>
      <c r="AR8" s="255">
        <v>997286217</v>
      </c>
      <c r="AS8" s="255">
        <v>1062352000</v>
      </c>
      <c r="AT8" s="256">
        <v>1062352000</v>
      </c>
      <c r="AU8" s="256">
        <v>1062352000</v>
      </c>
      <c r="AV8" s="256">
        <v>1287287000</v>
      </c>
      <c r="AW8" s="256">
        <v>1287287000</v>
      </c>
    </row>
    <row r="9" spans="1:592" s="13" customFormat="1" ht="21.75" customHeight="1" thickBot="1" x14ac:dyDescent="0.25">
      <c r="A9" s="10" t="s">
        <v>280</v>
      </c>
      <c r="B9" s="15" t="s">
        <v>281</v>
      </c>
      <c r="C9" s="11" t="s">
        <v>282</v>
      </c>
      <c r="D9" s="11">
        <v>4530859</v>
      </c>
      <c r="E9" s="225" t="s">
        <v>285</v>
      </c>
      <c r="F9" s="192" t="s">
        <v>278</v>
      </c>
      <c r="G9" s="201">
        <f>IFERROR(VLOOKUP(D9,List1!$A$5:$B$227,2,FALSE),"0")</f>
        <v>5184000</v>
      </c>
      <c r="H9" s="41" t="str">
        <f>IFERROR(VLOOKUP(D9,List1!$D$5:$E$41,2,FALSE),"0")</f>
        <v>0</v>
      </c>
      <c r="I9" s="41">
        <f>IFERROR(VLOOKUP(D9,List1!$G$5:$H$227,2,FALSE),"0")</f>
        <v>196488</v>
      </c>
      <c r="J9" s="40">
        <f t="shared" si="2"/>
        <v>5380488</v>
      </c>
      <c r="K9" s="41" t="str">
        <f>IFERROR(VLOOKUP(D9,List1!$J$5:$K$227,2,FALSE),"0")</f>
        <v>0</v>
      </c>
      <c r="L9" s="41" t="str">
        <f>IFERROR(VLOOKUP(D9,List1!$M$5:$N$112,2,FALSE),"0")</f>
        <v>0</v>
      </c>
      <c r="M9" s="43">
        <v>0</v>
      </c>
      <c r="N9" s="80">
        <f>VLOOKUP($D$5:$D$251,List2!$A$2:$B$241,2,FALSE)</f>
        <v>537399</v>
      </c>
      <c r="O9" s="80">
        <f>IFERROR(VLOOKUP($D$5:$D$260,List1!$Y$5:$Z$244,2,FALSE),0)</f>
        <v>0</v>
      </c>
      <c r="P9" s="202">
        <f>IFERROR(VLOOKUP($D$5:$D$260,List1!$AB$5:$AC$244,2,FALSE),0)</f>
        <v>0</v>
      </c>
      <c r="Q9" s="201">
        <f>IFERROR(VLOOKUP($D$5:$D$260,List1!$S$5:$T$231,2,FALSE),0)</f>
        <v>5890376</v>
      </c>
      <c r="R9" s="41">
        <v>0</v>
      </c>
      <c r="S9" s="41">
        <f>IFERROR(VLOOKUP($D$5:$D$260,List1!$AE$5:$AF$231,2,FALSE),0)</f>
        <v>484611</v>
      </c>
      <c r="T9" s="41">
        <f t="shared" si="3"/>
        <v>6374987</v>
      </c>
      <c r="U9" s="41" t="str">
        <f>IFERROR(VLOOKUP(D9,List1!$P$5:$Q$110,2,FALSE),"0")</f>
        <v>0</v>
      </c>
      <c r="V9" s="41">
        <v>0</v>
      </c>
      <c r="W9" s="248">
        <v>0</v>
      </c>
      <c r="X9" s="211">
        <f t="shared" si="4"/>
        <v>6374987</v>
      </c>
      <c r="Y9" s="219"/>
      <c r="Z9" s="80">
        <f>IFERROR(VLOOKUP($D$5:$D$260,#REF!,3,FALSE),0)</f>
        <v>0</v>
      </c>
      <c r="AA9" s="80">
        <f>IFERROR(VLOOKUP($D$5:$D$260,#REF!,3,FALSE),0)</f>
        <v>0</v>
      </c>
      <c r="AB9" s="243">
        <v>0</v>
      </c>
      <c r="AC9" s="202">
        <f t="shared" si="5"/>
        <v>0</v>
      </c>
      <c r="AD9" s="259">
        <f t="shared" si="6"/>
        <v>0</v>
      </c>
      <c r="AE9" s="260">
        <f t="shared" si="7"/>
        <v>0</v>
      </c>
      <c r="AF9" s="260">
        <f t="shared" si="8"/>
        <v>0</v>
      </c>
      <c r="AG9" s="260">
        <f t="shared" si="9"/>
        <v>0</v>
      </c>
      <c r="AK9" s="158" t="s">
        <v>286</v>
      </c>
      <c r="AL9" s="257">
        <v>0.81299999999999994</v>
      </c>
      <c r="AM9" s="257">
        <v>0.84</v>
      </c>
      <c r="AN9" s="257">
        <v>0.99650000000000005</v>
      </c>
      <c r="AO9" s="257">
        <v>0.91510000000000002</v>
      </c>
      <c r="AP9" s="257">
        <v>0.87919999999999998</v>
      </c>
      <c r="AQ9" s="257">
        <v>0.93730000000000002</v>
      </c>
      <c r="AR9" s="257">
        <v>0.73050000000000004</v>
      </c>
      <c r="AS9" s="257">
        <v>0.7853</v>
      </c>
      <c r="AT9" s="258">
        <v>0.81410000000000005</v>
      </c>
      <c r="AU9" s="258">
        <f>AU7/AU8</f>
        <v>0.85913721158335465</v>
      </c>
      <c r="AV9" s="258">
        <v>0.621</v>
      </c>
      <c r="AW9" s="258">
        <f>AW7/AW8</f>
        <v>0.71228573348445223</v>
      </c>
    </row>
    <row r="10" spans="1:592" s="13" customFormat="1" ht="27.6" customHeight="1" x14ac:dyDescent="0.2">
      <c r="A10" s="10" t="s">
        <v>287</v>
      </c>
      <c r="B10" s="11">
        <v>44224711</v>
      </c>
      <c r="C10" s="11" t="s">
        <v>288</v>
      </c>
      <c r="D10" s="11">
        <v>5293571</v>
      </c>
      <c r="E10" s="225" t="s">
        <v>289</v>
      </c>
      <c r="F10" s="192" t="s">
        <v>269</v>
      </c>
      <c r="G10" s="201">
        <f>IFERROR(VLOOKUP(D10,List1!$A$5:$B$227,2,FALSE),"0")</f>
        <v>2981000</v>
      </c>
      <c r="H10" s="41" t="str">
        <f>IFERROR(VLOOKUP(D10,List1!$D$5:$E$41,2,FALSE),"0")</f>
        <v>0</v>
      </c>
      <c r="I10" s="41">
        <f>IFERROR(VLOOKUP(D10,List1!$G$5:$H$227,2,FALSE),"0")</f>
        <v>198000</v>
      </c>
      <c r="J10" s="40">
        <f t="shared" si="2"/>
        <v>3179000</v>
      </c>
      <c r="K10" s="41" t="str">
        <f>IFERROR(VLOOKUP(D10,List1!$J$5:$K$227,2,FALSE),"0")</f>
        <v>0</v>
      </c>
      <c r="L10" s="41">
        <f>IFERROR(VLOOKUP(D10,List1!$M$5:$N$112,2,FALSE),"0")</f>
        <v>59000</v>
      </c>
      <c r="M10" s="43">
        <v>0</v>
      </c>
      <c r="N10" s="80">
        <f>VLOOKUP($D$5:$D$251,List2!$A$2:$B$241,2,FALSE)</f>
        <v>154474</v>
      </c>
      <c r="O10" s="80">
        <f>IFERROR(VLOOKUP($D$5:$D$260,List1!$Y$5:$Z$244,2,FALSE),0)</f>
        <v>0</v>
      </c>
      <c r="P10" s="202">
        <f>IFERROR(VLOOKUP($D$5:$D$260,List1!$AB$5:$AC$244,2,FALSE),0)</f>
        <v>0</v>
      </c>
      <c r="Q10" s="201">
        <f>IFERROR(VLOOKUP($D$5:$D$260,List1!$S$5:$T$231,2,FALSE),0)</f>
        <v>2652259</v>
      </c>
      <c r="R10" s="41">
        <v>0</v>
      </c>
      <c r="S10" s="41">
        <f>IFERROR(VLOOKUP($D$5:$D$260,List1!$AE$5:$AF$231,2,FALSE),0)</f>
        <v>550000</v>
      </c>
      <c r="T10" s="41">
        <f t="shared" si="3"/>
        <v>3202259</v>
      </c>
      <c r="U10" s="41">
        <f>IFERROR(VLOOKUP(D10,List1!$P$5:$Q$110,2,FALSE),"0")</f>
        <v>220000</v>
      </c>
      <c r="V10" s="41">
        <v>0</v>
      </c>
      <c r="W10" s="248">
        <v>0</v>
      </c>
      <c r="X10" s="211">
        <f t="shared" si="4"/>
        <v>3422259</v>
      </c>
      <c r="Y10" s="219"/>
      <c r="Z10" s="80">
        <f>IFERROR(VLOOKUP($D$5:$D$260,#REF!,3,FALSE),0)</f>
        <v>0</v>
      </c>
      <c r="AA10" s="80">
        <f>IFERROR(VLOOKUP($D$5:$D$260,#REF!,3,FALSE),0)</f>
        <v>0</v>
      </c>
      <c r="AB10" s="243">
        <v>0</v>
      </c>
      <c r="AC10" s="202">
        <f t="shared" si="5"/>
        <v>0</v>
      </c>
      <c r="AD10" s="259">
        <f t="shared" si="6"/>
        <v>-220000</v>
      </c>
      <c r="AE10" s="260">
        <f t="shared" si="7"/>
        <v>-1</v>
      </c>
      <c r="AF10" s="260">
        <f t="shared" si="8"/>
        <v>-1</v>
      </c>
      <c r="AG10" s="260">
        <f t="shared" si="9"/>
        <v>-1</v>
      </c>
    </row>
    <row r="11" spans="1:592" s="13" customFormat="1" ht="21" x14ac:dyDescent="0.2">
      <c r="A11" s="17" t="s">
        <v>204</v>
      </c>
      <c r="B11" s="18">
        <v>7234571</v>
      </c>
      <c r="C11" s="11" t="s">
        <v>267</v>
      </c>
      <c r="D11" s="18">
        <v>9220832</v>
      </c>
      <c r="E11" s="226" t="s">
        <v>290</v>
      </c>
      <c r="F11" s="193" t="s">
        <v>278</v>
      </c>
      <c r="G11" s="201">
        <f>IFERROR(VLOOKUP(D11,List1!$A$5:$B$227,2,FALSE),"0")</f>
        <v>2350000</v>
      </c>
      <c r="H11" s="41" t="str">
        <f>IFERROR(VLOOKUP(D11,List1!$D$5:$E$41,2,FALSE),"0")</f>
        <v>0</v>
      </c>
      <c r="I11" s="41">
        <f>IFERROR(VLOOKUP(D11,List1!$G$5:$H$227,2,FALSE),"0")</f>
        <v>656640</v>
      </c>
      <c r="J11" s="40">
        <f t="shared" si="2"/>
        <v>3006640</v>
      </c>
      <c r="K11" s="41" t="str">
        <f>IFERROR(VLOOKUP(D11,List1!$J$5:$K$227,2,FALSE),"0")</f>
        <v>0</v>
      </c>
      <c r="L11" s="41">
        <f>IFERROR(VLOOKUP(D11,List1!$M$5:$N$112,2,FALSE),"0")</f>
        <v>126000</v>
      </c>
      <c r="M11" s="43">
        <v>0</v>
      </c>
      <c r="N11" s="80">
        <f>VLOOKUP($D$5:$D$251,List2!$A$2:$B$241,2,FALSE)</f>
        <v>150566</v>
      </c>
      <c r="O11" s="80">
        <f>IFERROR(VLOOKUP($D$5:$D$260,List1!$Y$5:$Z$244,2,FALSE),0)</f>
        <v>0</v>
      </c>
      <c r="P11" s="202">
        <f>IFERROR(VLOOKUP($D$5:$D$260,List1!$AB$5:$AC$244,2,FALSE),0)</f>
        <v>0</v>
      </c>
      <c r="Q11" s="201">
        <f>IFERROR(VLOOKUP($D$5:$D$260,List1!$S$5:$T$231,2,FALSE),0)</f>
        <v>543064</v>
      </c>
      <c r="R11" s="41">
        <v>0</v>
      </c>
      <c r="S11" s="41">
        <f>IFERROR(VLOOKUP($D$5:$D$260,List1!$AE$5:$AF$231,2,FALSE),0)</f>
        <v>0</v>
      </c>
      <c r="T11" s="41">
        <f t="shared" si="3"/>
        <v>543064</v>
      </c>
      <c r="U11" s="41">
        <f>IFERROR(VLOOKUP(D11,List1!$P$5:$Q$110,2,FALSE),"0")</f>
        <v>490000</v>
      </c>
      <c r="V11" s="41">
        <v>0</v>
      </c>
      <c r="W11" s="248">
        <v>0</v>
      </c>
      <c r="X11" s="211">
        <f t="shared" si="4"/>
        <v>1033064</v>
      </c>
      <c r="Y11" s="219"/>
      <c r="Z11" s="80">
        <f>IFERROR(VLOOKUP($D$5:$D$260,#REF!,3,FALSE),0)</f>
        <v>0</v>
      </c>
      <c r="AA11" s="80">
        <f>IFERROR(VLOOKUP($D$5:$D$260,#REF!,3,FALSE),0)</f>
        <v>0</v>
      </c>
      <c r="AB11" s="243">
        <v>0</v>
      </c>
      <c r="AC11" s="202">
        <f t="shared" si="5"/>
        <v>0</v>
      </c>
      <c r="AD11" s="259">
        <f t="shared" si="6"/>
        <v>-490000</v>
      </c>
      <c r="AE11" s="260">
        <f t="shared" si="7"/>
        <v>-1</v>
      </c>
      <c r="AF11" s="260">
        <f t="shared" si="8"/>
        <v>-1</v>
      </c>
      <c r="AG11" s="260">
        <f t="shared" si="9"/>
        <v>-1</v>
      </c>
    </row>
    <row r="12" spans="1:592" s="13" customFormat="1" ht="21" x14ac:dyDescent="0.2">
      <c r="A12" s="10" t="s">
        <v>291</v>
      </c>
      <c r="B12" s="15" t="s">
        <v>292</v>
      </c>
      <c r="C12" s="11" t="s">
        <v>267</v>
      </c>
      <c r="D12" s="11">
        <v>8384795</v>
      </c>
      <c r="E12" s="225" t="s">
        <v>293</v>
      </c>
      <c r="F12" s="192" t="s">
        <v>294</v>
      </c>
      <c r="G12" s="201" t="str">
        <f>IFERROR(VLOOKUP(D12,List1!$A$5:$B$227,2,FALSE),"0")</f>
        <v>0</v>
      </c>
      <c r="H12" s="41" t="str">
        <f>IFERROR(VLOOKUP(D12,List1!$D$5:$E$41,2,FALSE),"0")</f>
        <v>0</v>
      </c>
      <c r="I12" s="41" t="str">
        <f>IFERROR(VLOOKUP(D12,List1!$G$5:$H$227,2,FALSE),"0")</f>
        <v>0</v>
      </c>
      <c r="J12" s="40">
        <f t="shared" si="2"/>
        <v>0</v>
      </c>
      <c r="K12" s="41">
        <f>IFERROR(VLOOKUP(D12,List1!$J$5:$K$227,2,FALSE),"0")</f>
        <v>81000</v>
      </c>
      <c r="L12" s="41" t="str">
        <f>IFERROR(VLOOKUP(D12,List1!$M$5:$N$112,2,FALSE),"0")</f>
        <v>0</v>
      </c>
      <c r="M12" s="43">
        <v>0</v>
      </c>
      <c r="N12" s="80">
        <f>VLOOKUP($D$5:$D$251,List2!$A$2:$B$241,2,FALSE)</f>
        <v>419096</v>
      </c>
      <c r="O12" s="80">
        <f>IFERROR(VLOOKUP($D$5:$D$260,List1!$Y$5:$Z$244,2,FALSE),0)</f>
        <v>0</v>
      </c>
      <c r="P12" s="202">
        <f>IFERROR(VLOOKUP($D$5:$D$260,List1!$AB$5:$AC$244,2,FALSE),0)</f>
        <v>0</v>
      </c>
      <c r="Q12" s="201">
        <f>IFERROR(VLOOKUP($D$5:$D$260,List1!$S$5:$T$231,2,FALSE),0)</f>
        <v>0</v>
      </c>
      <c r="R12" s="41">
        <v>0</v>
      </c>
      <c r="S12" s="41">
        <f>IFERROR(VLOOKUP($D$5:$D$260,List1!$AE$5:$AF$231,2,FALSE),0)</f>
        <v>0</v>
      </c>
      <c r="T12" s="41">
        <f t="shared" si="3"/>
        <v>0</v>
      </c>
      <c r="U12" s="41">
        <f>IFERROR(VLOOKUP(D12,List1!$P$5:$Q$110,2,FALSE),"0")</f>
        <v>250000</v>
      </c>
      <c r="V12" s="41">
        <v>0</v>
      </c>
      <c r="W12" s="248">
        <v>0</v>
      </c>
      <c r="X12" s="211">
        <f t="shared" si="4"/>
        <v>250000</v>
      </c>
      <c r="Y12" s="219"/>
      <c r="Z12" s="80">
        <f>IFERROR(VLOOKUP($D$5:$D$260,#REF!,3,FALSE),0)</f>
        <v>0</v>
      </c>
      <c r="AA12" s="80">
        <f>IFERROR(VLOOKUP($D$5:$D$260,#REF!,3,FALSE),0)</f>
        <v>0</v>
      </c>
      <c r="AB12" s="243">
        <v>0</v>
      </c>
      <c r="AC12" s="202">
        <f t="shared" si="5"/>
        <v>0</v>
      </c>
      <c r="AD12" s="259">
        <f t="shared" si="6"/>
        <v>-250000</v>
      </c>
      <c r="AE12" s="260">
        <f t="shared" si="7"/>
        <v>-1</v>
      </c>
      <c r="AF12" s="260">
        <f t="shared" si="8"/>
        <v>-1</v>
      </c>
      <c r="AG12" s="260">
        <f t="shared" si="9"/>
        <v>-1</v>
      </c>
    </row>
    <row r="13" spans="1:592" s="13" customFormat="1" ht="21" x14ac:dyDescent="0.2">
      <c r="A13" s="10" t="s">
        <v>295</v>
      </c>
      <c r="B13" s="11">
        <v>71220071</v>
      </c>
      <c r="C13" s="11" t="s">
        <v>296</v>
      </c>
      <c r="D13" s="11">
        <v>3190180</v>
      </c>
      <c r="E13" s="225" t="s">
        <v>297</v>
      </c>
      <c r="F13" s="192" t="s">
        <v>269</v>
      </c>
      <c r="G13" s="201">
        <f>IFERROR(VLOOKUP(D13,List1!$A$5:$B$227,2,FALSE),"0")</f>
        <v>3051000</v>
      </c>
      <c r="H13" s="41" t="str">
        <f>IFERROR(VLOOKUP(D13,List1!$D$5:$E$41,2,FALSE),"0")</f>
        <v>0</v>
      </c>
      <c r="I13" s="41">
        <f>IFERROR(VLOOKUP(D13,List1!$G$5:$H$227,2,FALSE),"0")</f>
        <v>638446</v>
      </c>
      <c r="J13" s="40">
        <f t="shared" si="2"/>
        <v>3689446</v>
      </c>
      <c r="K13" s="41" t="str">
        <f>IFERROR(VLOOKUP(D13,List1!$J$5:$K$227,2,FALSE),"0")</f>
        <v>0</v>
      </c>
      <c r="L13" s="41" t="str">
        <f>IFERROR(VLOOKUP(D13,List1!$M$5:$N$112,2,FALSE),"0")</f>
        <v>0</v>
      </c>
      <c r="M13" s="43">
        <v>0</v>
      </c>
      <c r="N13" s="80">
        <f>VLOOKUP($D$5:$D$251,List2!$A$2:$B$241,2,FALSE)</f>
        <v>0</v>
      </c>
      <c r="O13" s="80">
        <f>IFERROR(VLOOKUP($D$5:$D$260,List1!$Y$5:$Z$244,2,FALSE),0)</f>
        <v>1053198.01</v>
      </c>
      <c r="P13" s="202">
        <f>IFERROR(VLOOKUP($D$5:$D$260,List1!$AB$5:$AC$244,2,FALSE),0)</f>
        <v>0</v>
      </c>
      <c r="Q13" s="201">
        <f>IFERROR(VLOOKUP($D$5:$D$260,List1!$S$5:$T$231,2,FALSE),0)</f>
        <v>2427514</v>
      </c>
      <c r="R13" s="41">
        <v>0</v>
      </c>
      <c r="S13" s="41">
        <f>IFERROR(VLOOKUP($D$5:$D$260,List1!$AE$5:$AF$231,2,FALSE),0)</f>
        <v>500000</v>
      </c>
      <c r="T13" s="41">
        <f t="shared" si="3"/>
        <v>2927514</v>
      </c>
      <c r="U13" s="41" t="str">
        <f>IFERROR(VLOOKUP(D13,List1!$P$5:$Q$110,2,FALSE),"0")</f>
        <v>0</v>
      </c>
      <c r="V13" s="41">
        <v>0</v>
      </c>
      <c r="W13" s="248">
        <v>0</v>
      </c>
      <c r="X13" s="211">
        <f t="shared" si="4"/>
        <v>2927514</v>
      </c>
      <c r="Y13" s="219"/>
      <c r="Z13" s="80">
        <f>IFERROR(VLOOKUP($D$5:$D$260,#REF!,3,FALSE),0)</f>
        <v>0</v>
      </c>
      <c r="AA13" s="80">
        <f>IFERROR(VLOOKUP($D$5:$D$260,#REF!,3,FALSE),0)</f>
        <v>0</v>
      </c>
      <c r="AB13" s="243">
        <v>0</v>
      </c>
      <c r="AC13" s="202">
        <f t="shared" si="5"/>
        <v>0</v>
      </c>
      <c r="AD13" s="259">
        <f t="shared" si="6"/>
        <v>0</v>
      </c>
      <c r="AE13" s="260">
        <f t="shared" si="7"/>
        <v>0</v>
      </c>
      <c r="AF13" s="260">
        <f t="shared" si="8"/>
        <v>0</v>
      </c>
      <c r="AG13" s="260">
        <f t="shared" si="9"/>
        <v>0</v>
      </c>
    </row>
    <row r="14" spans="1:592" s="13" customFormat="1" ht="21" x14ac:dyDescent="0.2">
      <c r="A14" s="10" t="s">
        <v>295</v>
      </c>
      <c r="B14" s="11">
        <v>71220071</v>
      </c>
      <c r="C14" s="11" t="s">
        <v>296</v>
      </c>
      <c r="D14" s="11">
        <v>4094333</v>
      </c>
      <c r="E14" s="225" t="s">
        <v>298</v>
      </c>
      <c r="F14" s="192" t="s">
        <v>278</v>
      </c>
      <c r="G14" s="201">
        <f>IFERROR(VLOOKUP(D14,List1!$A$5:$B$227,2,FALSE),"0")</f>
        <v>11710000</v>
      </c>
      <c r="H14" s="41" t="str">
        <f>IFERROR(VLOOKUP(D14,List1!$D$5:$E$41,2,FALSE),"0")</f>
        <v>0</v>
      </c>
      <c r="I14" s="41">
        <f>IFERROR(VLOOKUP(D14,List1!$G$5:$H$227,2,FALSE),"0")</f>
        <v>750000</v>
      </c>
      <c r="J14" s="40">
        <f t="shared" si="2"/>
        <v>12460000</v>
      </c>
      <c r="K14" s="41" t="str">
        <f>IFERROR(VLOOKUP(D14,List1!$J$5:$K$227,2,FALSE),"0")</f>
        <v>0</v>
      </c>
      <c r="L14" s="41" t="str">
        <f>IFERROR(VLOOKUP(D14,List1!$M$5:$N$112,2,FALSE),"0")</f>
        <v>0</v>
      </c>
      <c r="M14" s="43">
        <v>0</v>
      </c>
      <c r="N14" s="80">
        <f>VLOOKUP($D$5:$D$251,List2!$A$2:$B$241,2,FALSE)</f>
        <v>0</v>
      </c>
      <c r="O14" s="80">
        <f>IFERROR(VLOOKUP($D$5:$D$260,List1!$Y$5:$Z$244,2,FALSE),0)</f>
        <v>2325498.66</v>
      </c>
      <c r="P14" s="202">
        <f>IFERROR(VLOOKUP($D$5:$D$260,List1!$AB$5:$AC$244,2,FALSE),0)</f>
        <v>0</v>
      </c>
      <c r="Q14" s="201">
        <f>IFERROR(VLOOKUP($D$5:$D$260,List1!$S$5:$T$231,2,FALSE),0)</f>
        <v>10117323</v>
      </c>
      <c r="R14" s="41">
        <v>0</v>
      </c>
      <c r="S14" s="41">
        <f>IFERROR(VLOOKUP($D$5:$D$260,List1!$AE$5:$AF$231,2,FALSE),0)</f>
        <v>581533</v>
      </c>
      <c r="T14" s="41">
        <f t="shared" si="3"/>
        <v>10698856</v>
      </c>
      <c r="U14" s="41" t="str">
        <f>IFERROR(VLOOKUP(D14,List1!$P$5:$Q$110,2,FALSE),"0")</f>
        <v>0</v>
      </c>
      <c r="V14" s="41">
        <v>0</v>
      </c>
      <c r="W14" s="248">
        <v>0</v>
      </c>
      <c r="X14" s="211">
        <f t="shared" si="4"/>
        <v>10698856</v>
      </c>
      <c r="Y14" s="219"/>
      <c r="Z14" s="80">
        <f>IFERROR(VLOOKUP($D$5:$D$260,#REF!,3,FALSE),0)</f>
        <v>0</v>
      </c>
      <c r="AA14" s="80">
        <f>IFERROR(VLOOKUP($D$5:$D$260,#REF!,3,FALSE),0)</f>
        <v>0</v>
      </c>
      <c r="AB14" s="243">
        <v>0</v>
      </c>
      <c r="AC14" s="202">
        <f t="shared" si="5"/>
        <v>0</v>
      </c>
      <c r="AD14" s="259">
        <f t="shared" si="6"/>
        <v>0</v>
      </c>
      <c r="AE14" s="260">
        <f t="shared" si="7"/>
        <v>0</v>
      </c>
      <c r="AF14" s="260">
        <f t="shared" si="8"/>
        <v>0</v>
      </c>
      <c r="AG14" s="260">
        <f t="shared" si="9"/>
        <v>0</v>
      </c>
    </row>
    <row r="15" spans="1:592" s="13" customFormat="1" ht="21" x14ac:dyDescent="0.2">
      <c r="A15" s="19" t="s">
        <v>299</v>
      </c>
      <c r="B15" s="11">
        <v>47607483</v>
      </c>
      <c r="C15" s="11" t="s">
        <v>288</v>
      </c>
      <c r="D15" s="11">
        <v>9015328</v>
      </c>
      <c r="E15" s="12" t="s">
        <v>268</v>
      </c>
      <c r="F15" s="192" t="s">
        <v>300</v>
      </c>
      <c r="G15" s="201" t="str">
        <f>IFERROR(VLOOKUP(D15,List1!$A$5:$B$227,2,FALSE),"0")</f>
        <v>0</v>
      </c>
      <c r="H15" s="41" t="str">
        <f>IFERROR(VLOOKUP(D15,List1!$D$5:$E$41,2,FALSE),"0")</f>
        <v>0</v>
      </c>
      <c r="I15" s="41" t="str">
        <f>IFERROR(VLOOKUP(D15,List1!$G$5:$H$227,2,FALSE),"0")</f>
        <v>0</v>
      </c>
      <c r="J15" s="40">
        <f t="shared" si="2"/>
        <v>0</v>
      </c>
      <c r="K15" s="41" t="str">
        <f>IFERROR(VLOOKUP(D15,List1!$J$5:$K$227,2,FALSE),"0")</f>
        <v>0</v>
      </c>
      <c r="L15" s="41" t="str">
        <f>IFERROR(VLOOKUP(D15,List1!$M$5:$N$112,2,FALSE),"0")</f>
        <v>0</v>
      </c>
      <c r="M15" s="43">
        <v>0</v>
      </c>
      <c r="N15" s="80">
        <v>0</v>
      </c>
      <c r="O15" s="80">
        <f>IFERROR(VLOOKUP($D$5:$D$260,List1!$Y$5:$Z$244,2,FALSE),0)</f>
        <v>0</v>
      </c>
      <c r="P15" s="202">
        <f>IFERROR(VLOOKUP($D$5:$D$260,List1!$AB$5:$AC$244,2,FALSE),0)</f>
        <v>0</v>
      </c>
      <c r="Q15" s="201">
        <f>IFERROR(VLOOKUP($D$5:$D$260,List1!$S$5:$T$231,2,FALSE),0)</f>
        <v>0</v>
      </c>
      <c r="R15" s="41">
        <v>0</v>
      </c>
      <c r="S15" s="41">
        <f>IFERROR(VLOOKUP($D$5:$D$260,List1!$AE$5:$AF$231,2,FALSE),0)</f>
        <v>0</v>
      </c>
      <c r="T15" s="41">
        <f t="shared" si="3"/>
        <v>0</v>
      </c>
      <c r="U15" s="41" t="str">
        <f>IFERROR(VLOOKUP(D15,List1!$P$5:$Q$110,2,FALSE),"0")</f>
        <v>0</v>
      </c>
      <c r="V15" s="41">
        <v>0</v>
      </c>
      <c r="W15" s="248">
        <v>0</v>
      </c>
      <c r="X15" s="211">
        <f t="shared" si="4"/>
        <v>0</v>
      </c>
      <c r="Y15" s="219"/>
      <c r="Z15" s="80">
        <f>IFERROR(VLOOKUP($D$5:$D$260,#REF!,3,FALSE),0)</f>
        <v>0</v>
      </c>
      <c r="AA15" s="80">
        <f>IFERROR(VLOOKUP($D$5:$D$260,#REF!,3,FALSE),0)</f>
        <v>0</v>
      </c>
      <c r="AB15" s="243">
        <v>0</v>
      </c>
      <c r="AC15" s="202">
        <f t="shared" si="5"/>
        <v>0</v>
      </c>
      <c r="AD15" s="259">
        <f t="shared" si="6"/>
        <v>0</v>
      </c>
      <c r="AE15" s="260">
        <f t="shared" si="7"/>
        <v>0</v>
      </c>
      <c r="AF15" s="260">
        <f t="shared" si="8"/>
        <v>0</v>
      </c>
      <c r="AG15" s="260">
        <f t="shared" si="9"/>
        <v>0</v>
      </c>
    </row>
    <row r="16" spans="1:592" s="20" customFormat="1" ht="31.5" x14ac:dyDescent="0.2">
      <c r="A16" s="19" t="s">
        <v>126</v>
      </c>
      <c r="B16" s="15" t="s">
        <v>301</v>
      </c>
      <c r="C16" s="11" t="s">
        <v>302</v>
      </c>
      <c r="D16" s="11">
        <v>7885329</v>
      </c>
      <c r="E16" s="225" t="s">
        <v>289</v>
      </c>
      <c r="F16" s="192" t="s">
        <v>269</v>
      </c>
      <c r="G16" s="201">
        <f>IFERROR(VLOOKUP(D16,List1!$A$5:$B$227,2,FALSE),"0")</f>
        <v>1751000</v>
      </c>
      <c r="H16" s="41">
        <f>IFERROR(VLOOKUP(D16,List1!$D$5:$E$41,2,FALSE),"0")</f>
        <v>118000</v>
      </c>
      <c r="I16" s="41">
        <f>IFERROR(VLOOKUP(D16,List1!$G$5:$H$227,2,FALSE),"0")</f>
        <v>129000</v>
      </c>
      <c r="J16" s="40">
        <f t="shared" si="2"/>
        <v>1998000</v>
      </c>
      <c r="K16" s="41">
        <f>IFERROR(VLOOKUP(D16,List1!$J$5:$K$227,2,FALSE),"0")</f>
        <v>111000</v>
      </c>
      <c r="L16" s="41">
        <f>IFERROR(VLOOKUP(D16,List1!$M$5:$N$112,2,FALSE),"0")</f>
        <v>39000</v>
      </c>
      <c r="M16" s="43">
        <v>0</v>
      </c>
      <c r="N16" s="80">
        <f>VLOOKUP($D$5:$D$251,List2!$A$2:$B$241,2,FALSE)</f>
        <v>112151</v>
      </c>
      <c r="O16" s="80">
        <f>IFERROR(VLOOKUP($D$5:$D$260,List1!$Y$5:$Z$244,2,FALSE),0)</f>
        <v>0</v>
      </c>
      <c r="P16" s="202">
        <f>IFERROR(VLOOKUP($D$5:$D$260,List1!$AB$5:$AC$244,2,FALSE),0)</f>
        <v>0</v>
      </c>
      <c r="Q16" s="201">
        <f>IFERROR(VLOOKUP($D$5:$D$260,List1!$S$5:$T$231,2,FALSE),0)</f>
        <v>2090703</v>
      </c>
      <c r="R16" s="41">
        <v>0</v>
      </c>
      <c r="S16" s="41">
        <f>IFERROR(VLOOKUP($D$5:$D$260,List1!$AE$5:$AF$231,2,FALSE),0)</f>
        <v>400000</v>
      </c>
      <c r="T16" s="41">
        <f t="shared" si="3"/>
        <v>2490703</v>
      </c>
      <c r="U16" s="41">
        <f>IFERROR(VLOOKUP(D16,List1!$P$5:$Q$110,2,FALSE),"0")</f>
        <v>220000</v>
      </c>
      <c r="V16" s="41">
        <v>0</v>
      </c>
      <c r="W16" s="248">
        <v>0</v>
      </c>
      <c r="X16" s="211">
        <f t="shared" si="4"/>
        <v>2710703</v>
      </c>
      <c r="Y16" s="219"/>
      <c r="Z16" s="80">
        <f>IFERROR(VLOOKUP($D$5:$D$260,#REF!,3,FALSE),0)</f>
        <v>0</v>
      </c>
      <c r="AA16" s="80">
        <f>IFERROR(VLOOKUP($D$5:$D$260,#REF!,3,FALSE),0)</f>
        <v>0</v>
      </c>
      <c r="AB16" s="243">
        <v>0</v>
      </c>
      <c r="AC16" s="202">
        <f t="shared" si="5"/>
        <v>0</v>
      </c>
      <c r="AD16" s="259">
        <f t="shared" si="6"/>
        <v>-220000</v>
      </c>
      <c r="AE16" s="260">
        <f t="shared" si="7"/>
        <v>-1</v>
      </c>
      <c r="AF16" s="260">
        <f t="shared" si="8"/>
        <v>-1</v>
      </c>
      <c r="AG16" s="260">
        <f t="shared" si="9"/>
        <v>-1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</row>
    <row r="17" spans="1:592" s="13" customFormat="1" ht="42" x14ac:dyDescent="0.2">
      <c r="A17" s="10" t="s">
        <v>303</v>
      </c>
      <c r="B17" s="11">
        <v>70868476</v>
      </c>
      <c r="C17" s="11" t="s">
        <v>296</v>
      </c>
      <c r="D17" s="11">
        <v>2632467</v>
      </c>
      <c r="E17" s="12" t="s">
        <v>268</v>
      </c>
      <c r="F17" s="192" t="s">
        <v>269</v>
      </c>
      <c r="G17" s="201">
        <f>IFERROR(VLOOKUP(D17,List1!$A$5:$B$227,2,FALSE),"0")</f>
        <v>5963000</v>
      </c>
      <c r="H17" s="41" t="str">
        <f>IFERROR(VLOOKUP(D17,List1!$D$5:$E$41,2,FALSE),"0")</f>
        <v>0</v>
      </c>
      <c r="I17" s="41">
        <f>IFERROR(VLOOKUP(D17,List1!$G$5:$H$227,2,FALSE),"0")</f>
        <v>303000</v>
      </c>
      <c r="J17" s="40">
        <f t="shared" si="2"/>
        <v>6266000</v>
      </c>
      <c r="K17" s="41" t="str">
        <f>IFERROR(VLOOKUP(D17,List1!$J$5:$K$227,2,FALSE),"0")</f>
        <v>0</v>
      </c>
      <c r="L17" s="41" t="str">
        <f>IFERROR(VLOOKUP(D17,List1!$M$5:$N$112,2,FALSE),"0")</f>
        <v>0</v>
      </c>
      <c r="M17" s="43">
        <v>0</v>
      </c>
      <c r="N17" s="80">
        <f>VLOOKUP($D$5:$D$251,List2!$A$2:$B$241,2,FALSE)</f>
        <v>0</v>
      </c>
      <c r="O17" s="80">
        <f>IFERROR(VLOOKUP($D$5:$D$260,List1!$Y$5:$Z$244,2,FALSE),0)</f>
        <v>1289150</v>
      </c>
      <c r="P17" s="202">
        <f>IFERROR(VLOOKUP($D$5:$D$260,List1!$AB$5:$AC$244,2,FALSE),0)</f>
        <v>0</v>
      </c>
      <c r="Q17" s="201">
        <f>IFERROR(VLOOKUP($D$5:$D$260,List1!$S$5:$T$231,2,FALSE),0)</f>
        <v>3733292</v>
      </c>
      <c r="R17" s="41">
        <v>0</v>
      </c>
      <c r="S17" s="41">
        <f>IFERROR(VLOOKUP($D$5:$D$260,List1!$AE$5:$AF$231,2,FALSE),0)</f>
        <v>1100000</v>
      </c>
      <c r="T17" s="41">
        <f t="shared" si="3"/>
        <v>4833292</v>
      </c>
      <c r="U17" s="41" t="str">
        <f>IFERROR(VLOOKUP(D17,List1!$P$5:$Q$110,2,FALSE),"0")</f>
        <v>0</v>
      </c>
      <c r="V17" s="41">
        <v>0</v>
      </c>
      <c r="W17" s="248">
        <v>0</v>
      </c>
      <c r="X17" s="211">
        <f t="shared" si="4"/>
        <v>4833292</v>
      </c>
      <c r="Y17" s="219"/>
      <c r="Z17" s="80">
        <f>IFERROR(VLOOKUP($D$5:$D$260,#REF!,3,FALSE),0)</f>
        <v>0</v>
      </c>
      <c r="AA17" s="80">
        <f>IFERROR(VLOOKUP($D$5:$D$260,#REF!,3,FALSE),0)</f>
        <v>0</v>
      </c>
      <c r="AB17" s="243">
        <v>0</v>
      </c>
      <c r="AC17" s="202">
        <f t="shared" si="5"/>
        <v>0</v>
      </c>
      <c r="AD17" s="259">
        <f t="shared" si="6"/>
        <v>0</v>
      </c>
      <c r="AE17" s="260">
        <f t="shared" si="7"/>
        <v>0</v>
      </c>
      <c r="AF17" s="260">
        <f t="shared" si="8"/>
        <v>0</v>
      </c>
      <c r="AG17" s="260">
        <f t="shared" si="9"/>
        <v>0</v>
      </c>
    </row>
    <row r="18" spans="1:592" s="20" customFormat="1" ht="42.75" customHeight="1" x14ac:dyDescent="0.2">
      <c r="A18" s="10" t="s">
        <v>303</v>
      </c>
      <c r="B18" s="11">
        <v>70868476</v>
      </c>
      <c r="C18" s="11" t="s">
        <v>296</v>
      </c>
      <c r="D18" s="11">
        <v>4337287</v>
      </c>
      <c r="E18" s="12" t="s">
        <v>268</v>
      </c>
      <c r="F18" s="192" t="s">
        <v>269</v>
      </c>
      <c r="G18" s="201">
        <f>IFERROR(VLOOKUP(D18,List1!$A$5:$B$227,2,FALSE),"0")</f>
        <v>2682000</v>
      </c>
      <c r="H18" s="41" t="str">
        <f>IFERROR(VLOOKUP(D18,List1!$D$5:$E$41,2,FALSE),"0")</f>
        <v>0</v>
      </c>
      <c r="I18" s="41">
        <f>IFERROR(VLOOKUP(D18,List1!$G$5:$H$227,2,FALSE),"0")</f>
        <v>132000</v>
      </c>
      <c r="J18" s="40">
        <f t="shared" si="2"/>
        <v>2814000</v>
      </c>
      <c r="K18" s="41" t="str">
        <f>IFERROR(VLOOKUP(D18,List1!$J$5:$K$227,2,FALSE),"0")</f>
        <v>0</v>
      </c>
      <c r="L18" s="41" t="str">
        <f>IFERROR(VLOOKUP(D18,List1!$M$5:$N$112,2,FALSE),"0")</f>
        <v>0</v>
      </c>
      <c r="M18" s="43">
        <v>0</v>
      </c>
      <c r="N18" s="80">
        <f>VLOOKUP($D$5:$D$251,List2!$A$2:$B$241,2,FALSE)</f>
        <v>0</v>
      </c>
      <c r="O18" s="80">
        <f>IFERROR(VLOOKUP($D$5:$D$260,List1!$Y$5:$Z$244,2,FALSE),0)</f>
        <v>934931</v>
      </c>
      <c r="P18" s="202">
        <f>IFERROR(VLOOKUP($D$5:$D$260,List1!$AB$5:$AC$244,2,FALSE),0)</f>
        <v>0</v>
      </c>
      <c r="Q18" s="201">
        <f>IFERROR(VLOOKUP($D$5:$D$260,List1!$S$5:$T$231,2,FALSE),0)</f>
        <v>1606508</v>
      </c>
      <c r="R18" s="41">
        <v>0</v>
      </c>
      <c r="S18" s="41">
        <f>IFERROR(VLOOKUP($D$5:$D$260,List1!$AE$5:$AF$231,2,FALSE),0)</f>
        <v>450000</v>
      </c>
      <c r="T18" s="41">
        <f t="shared" si="3"/>
        <v>2056508</v>
      </c>
      <c r="U18" s="41" t="str">
        <f>IFERROR(VLOOKUP(D18,List1!$P$5:$Q$110,2,FALSE),"0")</f>
        <v>0</v>
      </c>
      <c r="V18" s="41">
        <v>0</v>
      </c>
      <c r="W18" s="248">
        <v>0</v>
      </c>
      <c r="X18" s="211">
        <f t="shared" si="4"/>
        <v>2056508</v>
      </c>
      <c r="Y18" s="219"/>
      <c r="Z18" s="80">
        <f>IFERROR(VLOOKUP($D$5:$D$260,#REF!,3,FALSE),0)</f>
        <v>0</v>
      </c>
      <c r="AA18" s="80">
        <f>IFERROR(VLOOKUP($D$5:$D$260,#REF!,3,FALSE),0)</f>
        <v>0</v>
      </c>
      <c r="AB18" s="243">
        <v>0</v>
      </c>
      <c r="AC18" s="202">
        <f t="shared" si="5"/>
        <v>0</v>
      </c>
      <c r="AD18" s="259">
        <f t="shared" si="6"/>
        <v>0</v>
      </c>
      <c r="AE18" s="260">
        <f t="shared" si="7"/>
        <v>0</v>
      </c>
      <c r="AF18" s="260">
        <f t="shared" si="8"/>
        <v>0</v>
      </c>
      <c r="AG18" s="260">
        <f t="shared" si="9"/>
        <v>0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</row>
    <row r="19" spans="1:592" s="13" customFormat="1" ht="42" customHeight="1" x14ac:dyDescent="0.2">
      <c r="A19" s="10" t="s">
        <v>303</v>
      </c>
      <c r="B19" s="11">
        <v>70868476</v>
      </c>
      <c r="C19" s="11" t="s">
        <v>296</v>
      </c>
      <c r="D19" s="11">
        <v>5833201</v>
      </c>
      <c r="E19" s="12" t="s">
        <v>268</v>
      </c>
      <c r="F19" s="192" t="s">
        <v>269</v>
      </c>
      <c r="G19" s="201">
        <f>IFERROR(VLOOKUP(D19,List1!$A$5:$B$227,2,FALSE),"0")</f>
        <v>2603000</v>
      </c>
      <c r="H19" s="41" t="str">
        <f>IFERROR(VLOOKUP(D19,List1!$D$5:$E$41,2,FALSE),"0")</f>
        <v>0</v>
      </c>
      <c r="I19" s="41">
        <f>IFERROR(VLOOKUP(D19,List1!$G$5:$H$227,2,FALSE),"0")</f>
        <v>127500</v>
      </c>
      <c r="J19" s="40">
        <f t="shared" si="2"/>
        <v>2730500</v>
      </c>
      <c r="K19" s="41" t="str">
        <f>IFERROR(VLOOKUP(D19,List1!$J$5:$K$227,2,FALSE),"0")</f>
        <v>0</v>
      </c>
      <c r="L19" s="41" t="str">
        <f>IFERROR(VLOOKUP(D19,List1!$M$5:$N$112,2,FALSE),"0")</f>
        <v>0</v>
      </c>
      <c r="M19" s="43">
        <v>0</v>
      </c>
      <c r="N19" s="80">
        <f>VLOOKUP($D$5:$D$251,List2!$A$2:$B$241,2,FALSE)</f>
        <v>0</v>
      </c>
      <c r="O19" s="80">
        <f>IFERROR(VLOOKUP($D$5:$D$260,List1!$Y$5:$Z$244,2,FALSE),0)</f>
        <v>1224657</v>
      </c>
      <c r="P19" s="202">
        <f>IFERROR(VLOOKUP($D$5:$D$260,List1!$AB$5:$AC$244,2,FALSE),0)</f>
        <v>0</v>
      </c>
      <c r="Q19" s="201">
        <f>IFERROR(VLOOKUP($D$5:$D$260,List1!$S$5:$T$231,2,FALSE),0)</f>
        <v>1645219</v>
      </c>
      <c r="R19" s="41">
        <v>0</v>
      </c>
      <c r="S19" s="41">
        <f>IFERROR(VLOOKUP($D$5:$D$260,List1!$AE$5:$AF$231,2,FALSE),0)</f>
        <v>450000</v>
      </c>
      <c r="T19" s="41">
        <f t="shared" si="3"/>
        <v>2095219</v>
      </c>
      <c r="U19" s="41" t="str">
        <f>IFERROR(VLOOKUP(D19,List1!$P$5:$Q$110,2,FALSE),"0")</f>
        <v>0</v>
      </c>
      <c r="V19" s="41">
        <v>0</v>
      </c>
      <c r="W19" s="248">
        <v>0</v>
      </c>
      <c r="X19" s="211">
        <f t="shared" si="4"/>
        <v>2095219</v>
      </c>
      <c r="Y19" s="219"/>
      <c r="Z19" s="80">
        <f>IFERROR(VLOOKUP($D$5:$D$260,#REF!,3,FALSE),0)</f>
        <v>0</v>
      </c>
      <c r="AA19" s="80">
        <f>IFERROR(VLOOKUP($D$5:$D$260,#REF!,3,FALSE),0)</f>
        <v>0</v>
      </c>
      <c r="AB19" s="243">
        <v>0</v>
      </c>
      <c r="AC19" s="202">
        <f t="shared" si="5"/>
        <v>0</v>
      </c>
      <c r="AD19" s="259">
        <f t="shared" si="6"/>
        <v>0</v>
      </c>
      <c r="AE19" s="260">
        <f t="shared" si="7"/>
        <v>0</v>
      </c>
      <c r="AF19" s="260">
        <f t="shared" si="8"/>
        <v>0</v>
      </c>
      <c r="AG19" s="260">
        <f t="shared" si="9"/>
        <v>0</v>
      </c>
    </row>
    <row r="20" spans="1:592" s="13" customFormat="1" ht="42" x14ac:dyDescent="0.2">
      <c r="A20" s="10" t="s">
        <v>303</v>
      </c>
      <c r="B20" s="11">
        <v>70868476</v>
      </c>
      <c r="C20" s="11" t="s">
        <v>296</v>
      </c>
      <c r="D20" s="11">
        <v>5393471</v>
      </c>
      <c r="E20" s="228" t="s">
        <v>304</v>
      </c>
      <c r="F20" s="192" t="s">
        <v>294</v>
      </c>
      <c r="G20" s="201">
        <f>IFERROR(VLOOKUP(D20,List1!$A$5:$B$227,2,FALSE),"0")</f>
        <v>2855000</v>
      </c>
      <c r="H20" s="41" t="str">
        <f>IFERROR(VLOOKUP(D20,List1!$D$5:$E$41,2,FALSE),"0")</f>
        <v>0</v>
      </c>
      <c r="I20" s="41">
        <f>IFERROR(VLOOKUP(D20,List1!$G$5:$H$227,2,FALSE),"0")</f>
        <v>155000</v>
      </c>
      <c r="J20" s="40">
        <f t="shared" si="2"/>
        <v>3010000</v>
      </c>
      <c r="K20" s="41" t="str">
        <f>IFERROR(VLOOKUP(D20,List1!$J$5:$K$227,2,FALSE),"0")</f>
        <v>0</v>
      </c>
      <c r="L20" s="41" t="str">
        <f>IFERROR(VLOOKUP(D20,List1!$M$5:$N$112,2,FALSE),"0")</f>
        <v>0</v>
      </c>
      <c r="M20" s="43">
        <v>0</v>
      </c>
      <c r="N20" s="80">
        <f>VLOOKUP($D$5:$D$251,List2!$A$2:$B$241,2,FALSE)</f>
        <v>0</v>
      </c>
      <c r="O20" s="80">
        <f>IFERROR(VLOOKUP($D$5:$D$260,List1!$Y$5:$Z$244,2,FALSE),0)</f>
        <v>469871</v>
      </c>
      <c r="P20" s="202">
        <f>IFERROR(VLOOKUP($D$5:$D$260,List1!$AB$5:$AC$244,2,FALSE),0)</f>
        <v>0</v>
      </c>
      <c r="Q20" s="201">
        <f>IFERROR(VLOOKUP($D$5:$D$260,List1!$S$5:$T$231,2,FALSE),0)</f>
        <v>2274439</v>
      </c>
      <c r="R20" s="41">
        <v>0</v>
      </c>
      <c r="S20" s="41">
        <f>IFERROR(VLOOKUP($D$5:$D$260,List1!$AE$5:$AF$231,2,FALSE),0)</f>
        <v>650000</v>
      </c>
      <c r="T20" s="41">
        <f t="shared" si="3"/>
        <v>2924439</v>
      </c>
      <c r="U20" s="41" t="str">
        <f>IFERROR(VLOOKUP(D20,List1!$P$5:$Q$110,2,FALSE),"0")</f>
        <v>0</v>
      </c>
      <c r="V20" s="41">
        <v>0</v>
      </c>
      <c r="W20" s="248">
        <v>0</v>
      </c>
      <c r="X20" s="211">
        <f t="shared" si="4"/>
        <v>2924439</v>
      </c>
      <c r="Y20" s="219"/>
      <c r="Z20" s="80">
        <f>IFERROR(VLOOKUP($D$5:$D$260,#REF!,3,FALSE),0)</f>
        <v>0</v>
      </c>
      <c r="AA20" s="80">
        <f>IFERROR(VLOOKUP($D$5:$D$260,#REF!,3,FALSE),0)</f>
        <v>0</v>
      </c>
      <c r="AB20" s="243">
        <v>0</v>
      </c>
      <c r="AC20" s="202">
        <f t="shared" si="5"/>
        <v>0</v>
      </c>
      <c r="AD20" s="259">
        <f t="shared" si="6"/>
        <v>0</v>
      </c>
      <c r="AE20" s="260">
        <f t="shared" si="7"/>
        <v>0</v>
      </c>
      <c r="AF20" s="260">
        <f t="shared" si="8"/>
        <v>0</v>
      </c>
      <c r="AG20" s="260">
        <f t="shared" si="9"/>
        <v>0</v>
      </c>
    </row>
    <row r="21" spans="1:592" s="13" customFormat="1" ht="42" x14ac:dyDescent="0.2">
      <c r="A21" s="10" t="s">
        <v>303</v>
      </c>
      <c r="B21" s="11">
        <v>70868476</v>
      </c>
      <c r="C21" s="11" t="s">
        <v>296</v>
      </c>
      <c r="D21" s="11">
        <v>1701584</v>
      </c>
      <c r="E21" s="228" t="s">
        <v>305</v>
      </c>
      <c r="F21" s="192" t="s">
        <v>300</v>
      </c>
      <c r="G21" s="201">
        <f>IFERROR(VLOOKUP(D21,List1!$A$5:$B$227,2,FALSE),"0")</f>
        <v>1568000</v>
      </c>
      <c r="H21" s="41" t="str">
        <f>IFERROR(VLOOKUP(D21,List1!$D$5:$E$41,2,FALSE),"0")</f>
        <v>0</v>
      </c>
      <c r="I21" s="41">
        <f>IFERROR(VLOOKUP(D21,List1!$G$5:$H$227,2,FALSE),"0")</f>
        <v>66000</v>
      </c>
      <c r="J21" s="40">
        <f t="shared" si="2"/>
        <v>1634000</v>
      </c>
      <c r="K21" s="41" t="str">
        <f>IFERROR(VLOOKUP(D21,List1!$J$5:$K$227,2,FALSE),"0")</f>
        <v>0</v>
      </c>
      <c r="L21" s="41" t="str">
        <f>IFERROR(VLOOKUP(D21,List1!$M$5:$N$112,2,FALSE),"0")</f>
        <v>0</v>
      </c>
      <c r="M21" s="43">
        <v>0</v>
      </c>
      <c r="N21" s="80">
        <f>VLOOKUP($D$5:$D$251,List2!$A$2:$B$241,2,FALSE)</f>
        <v>0</v>
      </c>
      <c r="O21" s="80">
        <f>IFERROR(VLOOKUP($D$5:$D$260,List1!$Y$5:$Z$244,2,FALSE),0)</f>
        <v>699512</v>
      </c>
      <c r="P21" s="202">
        <f>IFERROR(VLOOKUP($D$5:$D$260,List1!$AB$5:$AC$244,2,FALSE),0)</f>
        <v>0</v>
      </c>
      <c r="Q21" s="201">
        <f>IFERROR(VLOOKUP($D$5:$D$260,List1!$S$5:$T$231,2,FALSE),0)</f>
        <v>973306</v>
      </c>
      <c r="R21" s="41">
        <v>0</v>
      </c>
      <c r="S21" s="41">
        <f>IFERROR(VLOOKUP($D$5:$D$260,List1!$AE$5:$AF$231,2,FALSE),0)</f>
        <v>250000</v>
      </c>
      <c r="T21" s="41">
        <f t="shared" si="3"/>
        <v>1223306</v>
      </c>
      <c r="U21" s="41" t="str">
        <f>IFERROR(VLOOKUP(D21,List1!$P$5:$Q$110,2,FALSE),"0")</f>
        <v>0</v>
      </c>
      <c r="V21" s="41">
        <v>0</v>
      </c>
      <c r="W21" s="248">
        <v>0</v>
      </c>
      <c r="X21" s="211">
        <f t="shared" si="4"/>
        <v>1223306</v>
      </c>
      <c r="Y21" s="219"/>
      <c r="Z21" s="80">
        <f>IFERROR(VLOOKUP($D$5:$D$260,#REF!,3,FALSE),0)</f>
        <v>0</v>
      </c>
      <c r="AA21" s="80">
        <f>IFERROR(VLOOKUP($D$5:$D$260,#REF!,3,FALSE),0)</f>
        <v>0</v>
      </c>
      <c r="AB21" s="243">
        <v>0</v>
      </c>
      <c r="AC21" s="202">
        <f t="shared" si="5"/>
        <v>0</v>
      </c>
      <c r="AD21" s="259">
        <f t="shared" si="6"/>
        <v>0</v>
      </c>
      <c r="AE21" s="260">
        <f t="shared" si="7"/>
        <v>0</v>
      </c>
      <c r="AF21" s="260">
        <f t="shared" si="8"/>
        <v>0</v>
      </c>
      <c r="AG21" s="260">
        <f t="shared" si="9"/>
        <v>0</v>
      </c>
    </row>
    <row r="22" spans="1:592" s="13" customFormat="1" ht="31.5" x14ac:dyDescent="0.2">
      <c r="A22" s="10" t="s">
        <v>306</v>
      </c>
      <c r="B22" s="11">
        <v>6627421</v>
      </c>
      <c r="C22" s="11" t="s">
        <v>307</v>
      </c>
      <c r="D22" s="11">
        <v>1273599</v>
      </c>
      <c r="E22" s="228" t="s">
        <v>308</v>
      </c>
      <c r="F22" s="192" t="s">
        <v>300</v>
      </c>
      <c r="G22" s="201">
        <f>IFERROR(VLOOKUP(D22,List1!$A$5:$B$227,2,FALSE),"0")</f>
        <v>1093000</v>
      </c>
      <c r="H22" s="41" t="str">
        <f>IFERROR(VLOOKUP(D22,List1!$D$5:$E$41,2,FALSE),"0")</f>
        <v>0</v>
      </c>
      <c r="I22" s="41">
        <f>IFERROR(VLOOKUP(D22,List1!$G$5:$H$227,2,FALSE),"0")</f>
        <v>90000</v>
      </c>
      <c r="J22" s="40">
        <f t="shared" si="2"/>
        <v>1183000</v>
      </c>
      <c r="K22" s="41" t="str">
        <f>IFERROR(VLOOKUP(D22,List1!$J$5:$K$227,2,FALSE),"0")</f>
        <v>0</v>
      </c>
      <c r="L22" s="41">
        <f>IFERROR(VLOOKUP(D22,List1!$M$5:$N$112,2,FALSE),"0")</f>
        <v>27000</v>
      </c>
      <c r="M22" s="43">
        <v>0</v>
      </c>
      <c r="N22" s="80">
        <f>VLOOKUP($D$5:$D$251,List2!$A$2:$B$241,2,FALSE)</f>
        <v>0</v>
      </c>
      <c r="O22" s="80">
        <f>IFERROR(VLOOKUP($D$5:$D$260,List1!$Y$5:$Z$244,2,FALSE),0)</f>
        <v>0</v>
      </c>
      <c r="P22" s="202">
        <f>IFERROR(VLOOKUP($D$5:$D$260,List1!$AB$5:$AC$244,2,FALSE),0)</f>
        <v>0</v>
      </c>
      <c r="Q22" s="201">
        <f>IFERROR(VLOOKUP($D$5:$D$260,List1!$S$5:$T$231,2,FALSE),0)</f>
        <v>1175156</v>
      </c>
      <c r="R22" s="41">
        <v>0</v>
      </c>
      <c r="S22" s="41">
        <f>IFERROR(VLOOKUP($D$5:$D$260,List1!$AE$5:$AF$231,2,FALSE),0)</f>
        <v>350000</v>
      </c>
      <c r="T22" s="41">
        <f t="shared" si="3"/>
        <v>1525156</v>
      </c>
      <c r="U22" s="41" t="str">
        <f>IFERROR(VLOOKUP(D22,List1!$P$5:$Q$110,2,FALSE),"0")</f>
        <v>0</v>
      </c>
      <c r="V22" s="41">
        <v>0</v>
      </c>
      <c r="W22" s="248">
        <v>0</v>
      </c>
      <c r="X22" s="211">
        <f t="shared" si="4"/>
        <v>1525156</v>
      </c>
      <c r="Y22" s="219"/>
      <c r="Z22" s="80">
        <f>IFERROR(VLOOKUP($D$5:$D$260,#REF!,3,FALSE),0)</f>
        <v>0</v>
      </c>
      <c r="AA22" s="80">
        <f>IFERROR(VLOOKUP($D$5:$D$260,#REF!,3,FALSE),0)</f>
        <v>0</v>
      </c>
      <c r="AB22" s="243">
        <v>0</v>
      </c>
      <c r="AC22" s="202">
        <f t="shared" si="5"/>
        <v>0</v>
      </c>
      <c r="AD22" s="259">
        <f t="shared" si="6"/>
        <v>0</v>
      </c>
      <c r="AE22" s="260">
        <f t="shared" si="7"/>
        <v>0</v>
      </c>
      <c r="AF22" s="260">
        <f t="shared" si="8"/>
        <v>0</v>
      </c>
      <c r="AG22" s="260">
        <f t="shared" si="9"/>
        <v>0</v>
      </c>
      <c r="AK22" s="181"/>
      <c r="AL22" s="247" t="s">
        <v>309</v>
      </c>
      <c r="AM22" s="247" t="s">
        <v>310</v>
      </c>
      <c r="AN22" s="247" t="s">
        <v>311</v>
      </c>
      <c r="AO22" s="247" t="s">
        <v>312</v>
      </c>
    </row>
    <row r="23" spans="1:592" s="20" customFormat="1" ht="21" x14ac:dyDescent="0.2">
      <c r="A23" s="10" t="s">
        <v>75</v>
      </c>
      <c r="B23" s="11">
        <v>28731191</v>
      </c>
      <c r="C23" s="11" t="s">
        <v>267</v>
      </c>
      <c r="D23" s="11">
        <v>3959325</v>
      </c>
      <c r="E23" s="228" t="s">
        <v>313</v>
      </c>
      <c r="F23" s="192" t="s">
        <v>300</v>
      </c>
      <c r="G23" s="201">
        <f>IFERROR(VLOOKUP(D23,List1!$A$5:$B$227,2,FALSE),"0")</f>
        <v>7261000</v>
      </c>
      <c r="H23" s="41">
        <f>IFERROR(VLOOKUP(D23,List1!$D$5:$E$41,2,FALSE),"0")</f>
        <v>834500</v>
      </c>
      <c r="I23" s="41">
        <f>IFERROR(VLOOKUP(D23,List1!$G$5:$H$227,2,FALSE),"0")</f>
        <v>984960</v>
      </c>
      <c r="J23" s="40">
        <f t="shared" si="2"/>
        <v>9080460</v>
      </c>
      <c r="K23" s="41">
        <f>IFERROR(VLOOKUP(D23,List1!$J$5:$K$227,2,FALSE),"0")</f>
        <v>278000</v>
      </c>
      <c r="L23" s="41">
        <f>IFERROR(VLOOKUP(D23,List1!$M$5:$N$112,2,FALSE),"0")</f>
        <v>97000</v>
      </c>
      <c r="M23" s="43">
        <v>0</v>
      </c>
      <c r="N23" s="80">
        <f>VLOOKUP($D$5:$D$251,List2!$A$2:$B$241,2,FALSE)</f>
        <v>1388971</v>
      </c>
      <c r="O23" s="80">
        <f>IFERROR(VLOOKUP($D$5:$D$260,List1!$Y$5:$Z$244,2,FALSE),0)</f>
        <v>0</v>
      </c>
      <c r="P23" s="202">
        <f>IFERROR(VLOOKUP($D$5:$D$260,List1!$AB$5:$AC$244,2,FALSE),0)</f>
        <v>0</v>
      </c>
      <c r="Q23" s="201">
        <f>IFERROR(VLOOKUP($D$5:$D$260,List1!$S$5:$T$231,2,FALSE),0)</f>
        <v>6271188</v>
      </c>
      <c r="R23" s="41">
        <v>0</v>
      </c>
      <c r="S23" s="41">
        <f>IFERROR(VLOOKUP($D$5:$D$260,List1!$AE$5:$AF$231,2,FALSE),0)</f>
        <v>1850000</v>
      </c>
      <c r="T23" s="41">
        <f t="shared" si="3"/>
        <v>8121188</v>
      </c>
      <c r="U23" s="41">
        <f>IFERROR(VLOOKUP(D23,List1!$P$5:$Q$110,2,FALSE),"0")</f>
        <v>490000</v>
      </c>
      <c r="V23" s="41">
        <v>0</v>
      </c>
      <c r="W23" s="248">
        <v>0</v>
      </c>
      <c r="X23" s="211">
        <f t="shared" si="4"/>
        <v>8611188</v>
      </c>
      <c r="Y23" s="219"/>
      <c r="Z23" s="80">
        <f>IFERROR(VLOOKUP($D$5:$D$260,#REF!,3,FALSE),0)</f>
        <v>0</v>
      </c>
      <c r="AA23" s="80">
        <f>IFERROR(VLOOKUP($D$5:$D$260,#REF!,3,FALSE),0)</f>
        <v>0</v>
      </c>
      <c r="AB23" s="243">
        <v>0</v>
      </c>
      <c r="AC23" s="202">
        <f t="shared" si="5"/>
        <v>0</v>
      </c>
      <c r="AD23" s="259">
        <f t="shared" si="6"/>
        <v>-490000</v>
      </c>
      <c r="AE23" s="260">
        <f t="shared" si="7"/>
        <v>-1</v>
      </c>
      <c r="AF23" s="260">
        <f t="shared" si="8"/>
        <v>-1</v>
      </c>
      <c r="AG23" s="260">
        <f t="shared" si="9"/>
        <v>-1</v>
      </c>
      <c r="AH23" s="13"/>
      <c r="AI23" s="13"/>
      <c r="AJ23" s="13"/>
      <c r="AK23" s="183">
        <v>2021</v>
      </c>
      <c r="AL23" s="182">
        <v>864912135</v>
      </c>
      <c r="AM23" s="182">
        <v>21432000</v>
      </c>
      <c r="AN23" s="182">
        <v>47794000</v>
      </c>
      <c r="AO23" s="182">
        <v>36180992.82</v>
      </c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</row>
    <row r="24" spans="1:592" s="21" customFormat="1" ht="21" x14ac:dyDescent="0.25">
      <c r="A24" s="10" t="s">
        <v>75</v>
      </c>
      <c r="B24" s="11">
        <v>28731191</v>
      </c>
      <c r="C24" s="11" t="s">
        <v>267</v>
      </c>
      <c r="D24" s="11">
        <v>4823957</v>
      </c>
      <c r="E24" s="228" t="s">
        <v>314</v>
      </c>
      <c r="F24" s="192" t="s">
        <v>300</v>
      </c>
      <c r="G24" s="201">
        <f>IFERROR(VLOOKUP(D24,List1!$A$5:$B$227,2,FALSE),"0")</f>
        <v>5488000</v>
      </c>
      <c r="H24" s="41">
        <f>IFERROR(VLOOKUP(D24,List1!$D$5:$E$41,2,FALSE),"0")</f>
        <v>550277</v>
      </c>
      <c r="I24" s="41">
        <f>IFERROR(VLOOKUP(D24,List1!$G$5:$H$227,2,FALSE),"0")</f>
        <v>656640</v>
      </c>
      <c r="J24" s="40">
        <f t="shared" si="2"/>
        <v>6694917</v>
      </c>
      <c r="K24" s="41">
        <f>IFERROR(VLOOKUP(D24,List1!$J$5:$K$227,2,FALSE),"0")</f>
        <v>193000</v>
      </c>
      <c r="L24" s="41">
        <f>IFERROR(VLOOKUP(D24,List1!$M$5:$N$112,2,FALSE),"0")</f>
        <v>76000</v>
      </c>
      <c r="M24" s="43">
        <v>0</v>
      </c>
      <c r="N24" s="80">
        <f>VLOOKUP($D$5:$D$251,List2!$A$2:$B$241,2,FALSE)</f>
        <v>929966</v>
      </c>
      <c r="O24" s="80">
        <f>IFERROR(VLOOKUP($D$5:$D$260,List1!$Y$5:$Z$244,2,FALSE),0)</f>
        <v>0</v>
      </c>
      <c r="P24" s="202">
        <f>IFERROR(VLOOKUP($D$5:$D$260,List1!$AB$5:$AC$244,2,FALSE),0)</f>
        <v>0</v>
      </c>
      <c r="Q24" s="201">
        <f>IFERROR(VLOOKUP($D$5:$D$260,List1!$S$5:$T$231,2,FALSE),0)</f>
        <v>4935657</v>
      </c>
      <c r="R24" s="41">
        <v>0</v>
      </c>
      <c r="S24" s="41">
        <f>IFERROR(VLOOKUP($D$5:$D$260,List1!$AE$5:$AF$231,2,FALSE),0)</f>
        <v>1450000</v>
      </c>
      <c r="T24" s="41">
        <f t="shared" si="3"/>
        <v>6385657</v>
      </c>
      <c r="U24" s="41">
        <f>IFERROR(VLOOKUP(D24,List1!$P$5:$Q$110,2,FALSE),"0")</f>
        <v>490000</v>
      </c>
      <c r="V24" s="41">
        <v>0</v>
      </c>
      <c r="W24" s="248">
        <v>0</v>
      </c>
      <c r="X24" s="211">
        <f t="shared" si="4"/>
        <v>6875657</v>
      </c>
      <c r="Y24" s="219"/>
      <c r="Z24" s="80">
        <f>IFERROR(VLOOKUP($D$5:$D$260,#REF!,3,FALSE),0)</f>
        <v>0</v>
      </c>
      <c r="AA24" s="80">
        <f>IFERROR(VLOOKUP($D$5:$D$260,#REF!,3,FALSE),0)</f>
        <v>0</v>
      </c>
      <c r="AB24" s="243">
        <v>0</v>
      </c>
      <c r="AC24" s="202">
        <f t="shared" si="5"/>
        <v>0</v>
      </c>
      <c r="AD24" s="259">
        <f t="shared" si="6"/>
        <v>-490000</v>
      </c>
      <c r="AE24" s="260">
        <f t="shared" si="7"/>
        <v>-1</v>
      </c>
      <c r="AF24" s="260">
        <f t="shared" si="8"/>
        <v>-1</v>
      </c>
      <c r="AG24" s="260">
        <f t="shared" si="9"/>
        <v>-1</v>
      </c>
      <c r="AH24" s="13"/>
      <c r="AI24" s="13"/>
      <c r="AJ24" s="13"/>
      <c r="AK24" s="183">
        <v>2022</v>
      </c>
      <c r="AL24" s="182">
        <v>916916165</v>
      </c>
      <c r="AM24" s="182">
        <v>35784645</v>
      </c>
      <c r="AN24" s="182">
        <v>0</v>
      </c>
      <c r="AO24" s="254">
        <v>42403143.200000003</v>
      </c>
      <c r="AP24" s="253" t="s">
        <v>315</v>
      </c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</row>
    <row r="25" spans="1:592" s="21" customFormat="1" ht="31.5" x14ac:dyDescent="0.2">
      <c r="A25" s="10" t="s">
        <v>316</v>
      </c>
      <c r="B25" s="15" t="s">
        <v>317</v>
      </c>
      <c r="C25" s="11" t="s">
        <v>318</v>
      </c>
      <c r="D25" s="11">
        <v>5002625</v>
      </c>
      <c r="E25" s="228" t="s">
        <v>313</v>
      </c>
      <c r="F25" s="192" t="s">
        <v>300</v>
      </c>
      <c r="G25" s="201" t="str">
        <f>IFERROR(VLOOKUP(D25,List1!$A$5:$B$227,2,FALSE),"0")</f>
        <v>0</v>
      </c>
      <c r="H25" s="41" t="str">
        <f>IFERROR(VLOOKUP(D25,List1!$D$5:$E$41,2,FALSE),"0")</f>
        <v>0</v>
      </c>
      <c r="I25" s="41" t="str">
        <f>IFERROR(VLOOKUP(D25,List1!$G$5:$H$227,2,FALSE),"0")</f>
        <v>0</v>
      </c>
      <c r="J25" s="40">
        <f t="shared" si="2"/>
        <v>0</v>
      </c>
      <c r="K25" s="41" t="str">
        <f>IFERROR(VLOOKUP(D25,List1!$J$5:$K$227,2,FALSE),"0")</f>
        <v>0</v>
      </c>
      <c r="L25" s="41" t="str">
        <f>IFERROR(VLOOKUP(D25,List1!$M$5:$N$112,2,FALSE),"0")</f>
        <v>0</v>
      </c>
      <c r="M25" s="43">
        <v>0</v>
      </c>
      <c r="N25" s="80">
        <f>VLOOKUP($D$5:$D$251,List2!$A$2:$B$241,2,FALSE)</f>
        <v>0</v>
      </c>
      <c r="O25" s="80">
        <f>IFERROR(VLOOKUP($D$5:$D$260,List1!$Y$5:$Z$244,2,FALSE),0)</f>
        <v>0</v>
      </c>
      <c r="P25" s="202">
        <f>IFERROR(VLOOKUP($D$5:$D$260,List1!$AB$5:$AC$244,2,FALSE),0)</f>
        <v>83000</v>
      </c>
      <c r="Q25" s="201">
        <f>IFERROR(VLOOKUP($D$5:$D$260,List1!$S$5:$T$231,2,FALSE),0)</f>
        <v>0</v>
      </c>
      <c r="R25" s="41">
        <v>0</v>
      </c>
      <c r="S25" s="41">
        <f>IFERROR(VLOOKUP($D$5:$D$260,List1!$AE$5:$AF$231,2,FALSE),0)</f>
        <v>0</v>
      </c>
      <c r="T25" s="41">
        <f t="shared" si="3"/>
        <v>0</v>
      </c>
      <c r="U25" s="41" t="str">
        <f>IFERROR(VLOOKUP(D25,List1!$P$5:$Q$110,2,FALSE),"0")</f>
        <v>0</v>
      </c>
      <c r="V25" s="41">
        <v>0</v>
      </c>
      <c r="W25" s="248">
        <v>0</v>
      </c>
      <c r="X25" s="211">
        <f t="shared" si="4"/>
        <v>0</v>
      </c>
      <c r="Y25" s="219"/>
      <c r="Z25" s="80">
        <f>IFERROR(VLOOKUP($D$5:$D$260,#REF!,3,FALSE),0)</f>
        <v>0</v>
      </c>
      <c r="AA25" s="80">
        <f>IFERROR(VLOOKUP($D$5:$D$260,#REF!,3,FALSE),0)</f>
        <v>0</v>
      </c>
      <c r="AB25" s="243">
        <v>0</v>
      </c>
      <c r="AC25" s="202">
        <f t="shared" si="5"/>
        <v>0</v>
      </c>
      <c r="AD25" s="259">
        <f t="shared" si="6"/>
        <v>0</v>
      </c>
      <c r="AE25" s="260">
        <f t="shared" si="7"/>
        <v>0</v>
      </c>
      <c r="AF25" s="260">
        <f t="shared" si="8"/>
        <v>0</v>
      </c>
      <c r="AG25" s="260">
        <f t="shared" si="9"/>
        <v>0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</row>
    <row r="26" spans="1:592" s="20" customFormat="1" ht="31.5" x14ac:dyDescent="0.2">
      <c r="A26" s="10" t="s">
        <v>319</v>
      </c>
      <c r="B26" s="15" t="s">
        <v>320</v>
      </c>
      <c r="C26" s="11" t="s">
        <v>318</v>
      </c>
      <c r="D26" s="11">
        <v>3364695</v>
      </c>
      <c r="E26" s="12" t="s">
        <v>268</v>
      </c>
      <c r="F26" s="192" t="s">
        <v>300</v>
      </c>
      <c r="G26" s="201" t="str">
        <f>IFERROR(VLOOKUP(D26,List1!$A$5:$B$227,2,FALSE),"0")</f>
        <v>0</v>
      </c>
      <c r="H26" s="41" t="str">
        <f>IFERROR(VLOOKUP(D26,List1!$D$5:$E$41,2,FALSE),"0")</f>
        <v>0</v>
      </c>
      <c r="I26" s="41" t="str">
        <f>IFERROR(VLOOKUP(D26,List1!$G$5:$H$227,2,FALSE),"0")</f>
        <v>0</v>
      </c>
      <c r="J26" s="40">
        <f t="shared" si="2"/>
        <v>0</v>
      </c>
      <c r="K26" s="41" t="str">
        <f>IFERROR(VLOOKUP(D26,List1!$J$5:$K$227,2,FALSE),"0")</f>
        <v>0</v>
      </c>
      <c r="L26" s="41" t="str">
        <f>IFERROR(VLOOKUP(D26,List1!$M$5:$N$112,2,FALSE),"0")</f>
        <v>0</v>
      </c>
      <c r="M26" s="43">
        <v>0</v>
      </c>
      <c r="N26" s="80">
        <f>VLOOKUP($D$5:$D$251,List2!$A$2:$B$241,2,FALSE)</f>
        <v>248893</v>
      </c>
      <c r="O26" s="80">
        <f>IFERROR(VLOOKUP($D$5:$D$260,List1!$Y$5:$Z$244,2,FALSE),0)</f>
        <v>0</v>
      </c>
      <c r="P26" s="202">
        <f>IFERROR(VLOOKUP($D$5:$D$260,List1!$AB$5:$AC$244,2,FALSE),0)</f>
        <v>0</v>
      </c>
      <c r="Q26" s="201">
        <f>IFERROR(VLOOKUP($D$5:$D$260,List1!$S$5:$T$231,2,FALSE),0)</f>
        <v>0</v>
      </c>
      <c r="R26" s="41">
        <v>0</v>
      </c>
      <c r="S26" s="41">
        <f>IFERROR(VLOOKUP($D$5:$D$260,List1!$AE$5:$AF$231,2,FALSE),0)</f>
        <v>0</v>
      </c>
      <c r="T26" s="41">
        <f t="shared" si="3"/>
        <v>0</v>
      </c>
      <c r="U26" s="41" t="str">
        <f>IFERROR(VLOOKUP(D26,List1!$P$5:$Q$110,2,FALSE),"0")</f>
        <v>0</v>
      </c>
      <c r="V26" s="41">
        <v>0</v>
      </c>
      <c r="W26" s="248">
        <v>0</v>
      </c>
      <c r="X26" s="211">
        <f t="shared" si="4"/>
        <v>0</v>
      </c>
      <c r="Y26" s="219"/>
      <c r="Z26" s="80">
        <f>IFERROR(VLOOKUP($D$5:$D$260,#REF!,3,FALSE),0)</f>
        <v>0</v>
      </c>
      <c r="AA26" s="80">
        <f>IFERROR(VLOOKUP($D$5:$D$260,#REF!,3,FALSE),0)</f>
        <v>0</v>
      </c>
      <c r="AB26" s="243">
        <v>0</v>
      </c>
      <c r="AC26" s="202">
        <f t="shared" si="5"/>
        <v>0</v>
      </c>
      <c r="AD26" s="259">
        <f t="shared" si="6"/>
        <v>0</v>
      </c>
      <c r="AE26" s="260">
        <f t="shared" si="7"/>
        <v>0</v>
      </c>
      <c r="AF26" s="260">
        <f t="shared" si="8"/>
        <v>0</v>
      </c>
      <c r="AG26" s="260">
        <f t="shared" si="9"/>
        <v>0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</row>
    <row r="27" spans="1:592" s="20" customFormat="1" ht="31.5" x14ac:dyDescent="0.2">
      <c r="A27" s="10" t="s">
        <v>33</v>
      </c>
      <c r="B27" s="11">
        <v>26593980</v>
      </c>
      <c r="C27" s="11" t="s">
        <v>318</v>
      </c>
      <c r="D27" s="11">
        <v>1840164</v>
      </c>
      <c r="E27" s="12" t="s">
        <v>268</v>
      </c>
      <c r="F27" s="192" t="s">
        <v>300</v>
      </c>
      <c r="G27" s="201">
        <f>IFERROR(VLOOKUP(D27,List1!$A$5:$B$227,2,FALSE),"0")</f>
        <v>132000</v>
      </c>
      <c r="H27" s="41" t="str">
        <f>IFERROR(VLOOKUP(D27,List1!$D$5:$E$41,2,FALSE),"0")</f>
        <v>0</v>
      </c>
      <c r="I27" s="41" t="str">
        <f>IFERROR(VLOOKUP(D27,List1!$G$5:$H$227,2,FALSE),"0")</f>
        <v>0</v>
      </c>
      <c r="J27" s="40">
        <f t="shared" si="2"/>
        <v>132000</v>
      </c>
      <c r="K27" s="41" t="str">
        <f>IFERROR(VLOOKUP(D27,List1!$J$5:$K$227,2,FALSE),"0")</f>
        <v>0</v>
      </c>
      <c r="L27" s="41" t="str">
        <f>IFERROR(VLOOKUP(D27,List1!$M$5:$N$112,2,FALSE),"0")</f>
        <v>0</v>
      </c>
      <c r="M27" s="43">
        <v>0</v>
      </c>
      <c r="N27" s="80">
        <f>VLOOKUP($D$5:$D$251,List2!$A$2:$B$241,2,FALSE)</f>
        <v>27604</v>
      </c>
      <c r="O27" s="80">
        <f>IFERROR(VLOOKUP($D$5:$D$260,List1!$Y$5:$Z$244,2,FALSE),0)</f>
        <v>0</v>
      </c>
      <c r="P27" s="202">
        <f>IFERROR(VLOOKUP($D$5:$D$260,List1!$AB$5:$AC$244,2,FALSE),0)</f>
        <v>0</v>
      </c>
      <c r="Q27" s="201">
        <f>IFERROR(VLOOKUP($D$5:$D$260,List1!$S$5:$T$231,2,FALSE),0)</f>
        <v>124428</v>
      </c>
      <c r="R27" s="41">
        <v>0</v>
      </c>
      <c r="S27" s="41">
        <f>IFERROR(VLOOKUP($D$5:$D$260,List1!$AE$5:$AF$231,2,FALSE),0)</f>
        <v>35000</v>
      </c>
      <c r="T27" s="41">
        <f t="shared" si="3"/>
        <v>159428</v>
      </c>
      <c r="U27" s="41" t="str">
        <f>IFERROR(VLOOKUP(D27,List1!$P$5:$Q$110,2,FALSE),"0")</f>
        <v>0</v>
      </c>
      <c r="V27" s="41">
        <v>0</v>
      </c>
      <c r="W27" s="248">
        <v>0</v>
      </c>
      <c r="X27" s="211">
        <f t="shared" si="4"/>
        <v>159428</v>
      </c>
      <c r="Y27" s="219"/>
      <c r="Z27" s="80">
        <f>IFERROR(VLOOKUP($D$5:$D$260,#REF!,3,FALSE),0)</f>
        <v>0</v>
      </c>
      <c r="AA27" s="80">
        <f>IFERROR(VLOOKUP($D$5:$D$260,#REF!,3,FALSE),0)</f>
        <v>0</v>
      </c>
      <c r="AB27" s="243">
        <v>0</v>
      </c>
      <c r="AC27" s="202">
        <f t="shared" si="5"/>
        <v>0</v>
      </c>
      <c r="AD27" s="259">
        <f t="shared" si="6"/>
        <v>0</v>
      </c>
      <c r="AE27" s="260">
        <f t="shared" si="7"/>
        <v>0</v>
      </c>
      <c r="AF27" s="260">
        <f t="shared" si="8"/>
        <v>0</v>
      </c>
      <c r="AG27" s="260">
        <f t="shared" si="9"/>
        <v>0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</row>
    <row r="28" spans="1:592" s="13" customFormat="1" ht="31.5" x14ac:dyDescent="0.2">
      <c r="A28" s="10" t="s">
        <v>33</v>
      </c>
      <c r="B28" s="11">
        <v>26593980</v>
      </c>
      <c r="C28" s="11" t="s">
        <v>318</v>
      </c>
      <c r="D28" s="11">
        <v>4148036</v>
      </c>
      <c r="E28" s="12" t="s">
        <v>268</v>
      </c>
      <c r="F28" s="192" t="s">
        <v>300</v>
      </c>
      <c r="G28" s="201">
        <f>IFERROR(VLOOKUP(D28,List1!$A$5:$B$227,2,FALSE),"0")</f>
        <v>88000</v>
      </c>
      <c r="H28" s="41" t="str">
        <f>IFERROR(VLOOKUP(D28,List1!$D$5:$E$41,2,FALSE),"0")</f>
        <v>0</v>
      </c>
      <c r="I28" s="41" t="str">
        <f>IFERROR(VLOOKUP(D28,List1!$G$5:$H$227,2,FALSE),"0")</f>
        <v>0</v>
      </c>
      <c r="J28" s="40">
        <f t="shared" si="2"/>
        <v>88000</v>
      </c>
      <c r="K28" s="41" t="str">
        <f>IFERROR(VLOOKUP(D28,List1!$J$5:$K$227,2,FALSE),"0")</f>
        <v>0</v>
      </c>
      <c r="L28" s="41" t="str">
        <f>IFERROR(VLOOKUP(D28,List1!$M$5:$N$112,2,FALSE),"0")</f>
        <v>0</v>
      </c>
      <c r="M28" s="43">
        <v>0</v>
      </c>
      <c r="N28" s="80">
        <f>VLOOKUP($D$5:$D$251,List2!$A$2:$B$241,2,FALSE)</f>
        <v>0</v>
      </c>
      <c r="O28" s="80">
        <f>IFERROR(VLOOKUP($D$5:$D$260,List1!$Y$5:$Z$244,2,FALSE),0)</f>
        <v>0</v>
      </c>
      <c r="P28" s="202">
        <f>IFERROR(VLOOKUP($D$5:$D$260,List1!$AB$5:$AC$244,2,FALSE),0)</f>
        <v>0</v>
      </c>
      <c r="Q28" s="201">
        <f>IFERROR(VLOOKUP($D$5:$D$260,List1!$S$5:$T$231,2,FALSE),0)</f>
        <v>82952</v>
      </c>
      <c r="R28" s="41">
        <v>0</v>
      </c>
      <c r="S28" s="41">
        <f>IFERROR(VLOOKUP($D$5:$D$260,List1!$AE$5:$AF$231,2,FALSE),0)</f>
        <v>25000</v>
      </c>
      <c r="T28" s="41">
        <f t="shared" si="3"/>
        <v>107952</v>
      </c>
      <c r="U28" s="41" t="str">
        <f>IFERROR(VLOOKUP(D28,List1!$P$5:$Q$110,2,FALSE),"0")</f>
        <v>0</v>
      </c>
      <c r="V28" s="41">
        <v>0</v>
      </c>
      <c r="W28" s="248">
        <v>0</v>
      </c>
      <c r="X28" s="211">
        <f t="shared" si="4"/>
        <v>107952</v>
      </c>
      <c r="Y28" s="219"/>
      <c r="Z28" s="80">
        <f>IFERROR(VLOOKUP($D$5:$D$260,#REF!,3,FALSE),0)</f>
        <v>0</v>
      </c>
      <c r="AA28" s="80">
        <f>IFERROR(VLOOKUP($D$5:$D$260,#REF!,3,FALSE),0)</f>
        <v>0</v>
      </c>
      <c r="AB28" s="243">
        <v>0</v>
      </c>
      <c r="AC28" s="202">
        <f t="shared" si="5"/>
        <v>0</v>
      </c>
      <c r="AD28" s="259">
        <f t="shared" si="6"/>
        <v>0</v>
      </c>
      <c r="AE28" s="260">
        <f t="shared" si="7"/>
        <v>0</v>
      </c>
      <c r="AF28" s="260">
        <f t="shared" si="8"/>
        <v>0</v>
      </c>
      <c r="AG28" s="260">
        <f t="shared" si="9"/>
        <v>0</v>
      </c>
    </row>
    <row r="29" spans="1:592" s="13" customFormat="1" ht="31.5" x14ac:dyDescent="0.2">
      <c r="A29" s="10" t="s">
        <v>33</v>
      </c>
      <c r="B29" s="11">
        <v>26593980</v>
      </c>
      <c r="C29" s="11" t="s">
        <v>318</v>
      </c>
      <c r="D29" s="11">
        <v>5451090</v>
      </c>
      <c r="E29" s="12" t="s">
        <v>268</v>
      </c>
      <c r="F29" s="192" t="s">
        <v>300</v>
      </c>
      <c r="G29" s="201">
        <f>IFERROR(VLOOKUP(D29,List1!$A$5:$B$227,2,FALSE),"0")</f>
        <v>88000</v>
      </c>
      <c r="H29" s="41" t="str">
        <f>IFERROR(VLOOKUP(D29,List1!$D$5:$E$41,2,FALSE),"0")</f>
        <v>0</v>
      </c>
      <c r="I29" s="41" t="str">
        <f>IFERROR(VLOOKUP(D29,List1!$G$5:$H$227,2,FALSE),"0")</f>
        <v>0</v>
      </c>
      <c r="J29" s="40">
        <f t="shared" si="2"/>
        <v>88000</v>
      </c>
      <c r="K29" s="41" t="str">
        <f>IFERROR(VLOOKUP(D29,List1!$J$5:$K$227,2,FALSE),"0")</f>
        <v>0</v>
      </c>
      <c r="L29" s="41" t="str">
        <f>IFERROR(VLOOKUP(D29,List1!$M$5:$N$112,2,FALSE),"0")</f>
        <v>0</v>
      </c>
      <c r="M29" s="43">
        <v>0</v>
      </c>
      <c r="N29" s="80">
        <f>VLOOKUP($D$5:$D$251,List2!$A$2:$B$241,2,FALSE)</f>
        <v>25298</v>
      </c>
      <c r="O29" s="80">
        <f>IFERROR(VLOOKUP($D$5:$D$260,List1!$Y$5:$Z$244,2,FALSE),0)</f>
        <v>0</v>
      </c>
      <c r="P29" s="202">
        <f>IFERROR(VLOOKUP($D$5:$D$260,List1!$AB$5:$AC$244,2,FALSE),0)</f>
        <v>0</v>
      </c>
      <c r="Q29" s="201">
        <f>IFERROR(VLOOKUP($D$5:$D$260,List1!$S$5:$T$231,2,FALSE),0)</f>
        <v>82952</v>
      </c>
      <c r="R29" s="41">
        <v>0</v>
      </c>
      <c r="S29" s="41">
        <f>IFERROR(VLOOKUP($D$5:$D$260,List1!$AE$5:$AF$231,2,FALSE),0)</f>
        <v>25000</v>
      </c>
      <c r="T29" s="41">
        <f t="shared" si="3"/>
        <v>107952</v>
      </c>
      <c r="U29" s="41" t="str">
        <f>IFERROR(VLOOKUP(D29,List1!$P$5:$Q$110,2,FALSE),"0")</f>
        <v>0</v>
      </c>
      <c r="V29" s="41">
        <v>0</v>
      </c>
      <c r="W29" s="248">
        <v>0</v>
      </c>
      <c r="X29" s="211">
        <f t="shared" si="4"/>
        <v>107952</v>
      </c>
      <c r="Y29" s="219"/>
      <c r="Z29" s="80">
        <f>IFERROR(VLOOKUP($D$5:$D$260,#REF!,3,FALSE),0)</f>
        <v>0</v>
      </c>
      <c r="AA29" s="80">
        <f>IFERROR(VLOOKUP($D$5:$D$260,#REF!,3,FALSE),0)</f>
        <v>0</v>
      </c>
      <c r="AB29" s="243">
        <v>0</v>
      </c>
      <c r="AC29" s="202">
        <f t="shared" si="5"/>
        <v>0</v>
      </c>
      <c r="AD29" s="259">
        <f t="shared" si="6"/>
        <v>0</v>
      </c>
      <c r="AE29" s="260">
        <f t="shared" si="7"/>
        <v>0</v>
      </c>
      <c r="AF29" s="260">
        <f t="shared" si="8"/>
        <v>0</v>
      </c>
      <c r="AG29" s="260">
        <f t="shared" si="9"/>
        <v>0</v>
      </c>
    </row>
    <row r="30" spans="1:592" s="13" customFormat="1" ht="31.5" x14ac:dyDescent="0.2">
      <c r="A30" s="10" t="s">
        <v>33</v>
      </c>
      <c r="B30" s="11">
        <v>26593980</v>
      </c>
      <c r="C30" s="11" t="s">
        <v>318</v>
      </c>
      <c r="D30" s="11">
        <v>9725207</v>
      </c>
      <c r="E30" s="12" t="s">
        <v>268</v>
      </c>
      <c r="F30" s="192" t="s">
        <v>300</v>
      </c>
      <c r="G30" s="201">
        <f>IFERROR(VLOOKUP(D30,List1!$A$5:$B$227,2,FALSE),"0")</f>
        <v>88000</v>
      </c>
      <c r="H30" s="41" t="str">
        <f>IFERROR(VLOOKUP(D30,List1!$D$5:$E$41,2,FALSE),"0")</f>
        <v>0</v>
      </c>
      <c r="I30" s="41" t="str">
        <f>IFERROR(VLOOKUP(D30,List1!$G$5:$H$227,2,FALSE),"0")</f>
        <v>0</v>
      </c>
      <c r="J30" s="40">
        <f t="shared" si="2"/>
        <v>88000</v>
      </c>
      <c r="K30" s="41" t="str">
        <f>IFERROR(VLOOKUP(D30,List1!$J$5:$K$227,2,FALSE),"0")</f>
        <v>0</v>
      </c>
      <c r="L30" s="41" t="str">
        <f>IFERROR(VLOOKUP(D30,List1!$M$5:$N$112,2,FALSE),"0")</f>
        <v>0</v>
      </c>
      <c r="M30" s="43">
        <v>0</v>
      </c>
      <c r="N30" s="80">
        <f>VLOOKUP($D$5:$D$251,List2!$A$2:$B$241,2,FALSE)</f>
        <v>18000</v>
      </c>
      <c r="O30" s="80">
        <f>IFERROR(VLOOKUP($D$5:$D$260,List1!$Y$5:$Z$244,2,FALSE),0)</f>
        <v>0</v>
      </c>
      <c r="P30" s="202">
        <f>IFERROR(VLOOKUP($D$5:$D$260,List1!$AB$5:$AC$244,2,FALSE),0)</f>
        <v>0</v>
      </c>
      <c r="Q30" s="201">
        <f>IFERROR(VLOOKUP($D$5:$D$260,List1!$S$5:$T$231,2,FALSE),0)</f>
        <v>82952</v>
      </c>
      <c r="R30" s="41">
        <v>0</v>
      </c>
      <c r="S30" s="41">
        <f>IFERROR(VLOOKUP($D$5:$D$260,List1!$AE$5:$AF$231,2,FALSE),0)</f>
        <v>25000</v>
      </c>
      <c r="T30" s="41">
        <f t="shared" si="3"/>
        <v>107952</v>
      </c>
      <c r="U30" s="41" t="str">
        <f>IFERROR(VLOOKUP(D30,List1!$P$5:$Q$110,2,FALSE),"0")</f>
        <v>0</v>
      </c>
      <c r="V30" s="41">
        <v>0</v>
      </c>
      <c r="W30" s="248">
        <v>0</v>
      </c>
      <c r="X30" s="211">
        <f t="shared" si="4"/>
        <v>107952</v>
      </c>
      <c r="Y30" s="219"/>
      <c r="Z30" s="80">
        <f>IFERROR(VLOOKUP($D$5:$D$260,#REF!,3,FALSE),0)</f>
        <v>0</v>
      </c>
      <c r="AA30" s="80">
        <f>IFERROR(VLOOKUP($D$5:$D$260,#REF!,3,FALSE),0)</f>
        <v>0</v>
      </c>
      <c r="AB30" s="243">
        <v>0</v>
      </c>
      <c r="AC30" s="202">
        <f t="shared" si="5"/>
        <v>0</v>
      </c>
      <c r="AD30" s="259">
        <f t="shared" si="6"/>
        <v>0</v>
      </c>
      <c r="AE30" s="260">
        <f t="shared" si="7"/>
        <v>0</v>
      </c>
      <c r="AF30" s="260">
        <f t="shared" si="8"/>
        <v>0</v>
      </c>
      <c r="AG30" s="260">
        <f t="shared" si="9"/>
        <v>0</v>
      </c>
    </row>
    <row r="31" spans="1:592" s="13" customFormat="1" ht="31.5" x14ac:dyDescent="0.2">
      <c r="A31" s="10" t="s">
        <v>33</v>
      </c>
      <c r="B31" s="11">
        <v>26593980</v>
      </c>
      <c r="C31" s="11" t="s">
        <v>318</v>
      </c>
      <c r="D31" s="11">
        <v>7135154</v>
      </c>
      <c r="E31" s="225" t="s">
        <v>321</v>
      </c>
      <c r="F31" s="192" t="s">
        <v>294</v>
      </c>
      <c r="G31" s="201">
        <f>IFERROR(VLOOKUP(D31,List1!$A$5:$B$227,2,FALSE),"0")</f>
        <v>2506000</v>
      </c>
      <c r="H31" s="41" t="str">
        <f>IFERROR(VLOOKUP(D31,List1!$D$5:$E$41,2,FALSE),"0")</f>
        <v>0</v>
      </c>
      <c r="I31" s="41">
        <f>IFERROR(VLOOKUP(D31,List1!$G$5:$H$227,2,FALSE),"0")</f>
        <v>550428</v>
      </c>
      <c r="J31" s="40">
        <f t="shared" si="2"/>
        <v>3056428</v>
      </c>
      <c r="K31" s="41">
        <f>IFERROR(VLOOKUP(D31,List1!$J$5:$K$227,2,FALSE),"0")</f>
        <v>188000</v>
      </c>
      <c r="L31" s="41">
        <f>IFERROR(VLOOKUP(D31,List1!$M$5:$N$112,2,FALSE),"0")</f>
        <v>67000</v>
      </c>
      <c r="M31" s="43">
        <v>0</v>
      </c>
      <c r="N31" s="80">
        <f>VLOOKUP($D$5:$D$251,List2!$A$2:$B$241,2,FALSE)</f>
        <v>722000</v>
      </c>
      <c r="O31" s="80">
        <f>IFERROR(VLOOKUP($D$5:$D$260,List1!$Y$5:$Z$244,2,FALSE),0)</f>
        <v>0</v>
      </c>
      <c r="P31" s="202">
        <f>IFERROR(VLOOKUP($D$5:$D$260,List1!$AB$5:$AC$244,2,FALSE),0)</f>
        <v>0</v>
      </c>
      <c r="Q31" s="201">
        <f>IFERROR(VLOOKUP($D$5:$D$260,List1!$S$5:$T$231,2,FALSE),0)</f>
        <v>3135410</v>
      </c>
      <c r="R31" s="41">
        <v>0</v>
      </c>
      <c r="S31" s="41">
        <f>IFERROR(VLOOKUP($D$5:$D$260,List1!$AE$5:$AF$231,2,FALSE),0)</f>
        <v>600000</v>
      </c>
      <c r="T31" s="41">
        <f t="shared" si="3"/>
        <v>3735410</v>
      </c>
      <c r="U31" s="41">
        <f>IFERROR(VLOOKUP(D31,List1!$P$5:$Q$110,2,FALSE),"0")</f>
        <v>490000</v>
      </c>
      <c r="V31" s="41">
        <v>0</v>
      </c>
      <c r="W31" s="248">
        <v>0</v>
      </c>
      <c r="X31" s="211">
        <f t="shared" si="4"/>
        <v>4225410</v>
      </c>
      <c r="Y31" s="219"/>
      <c r="Z31" s="80">
        <f>IFERROR(VLOOKUP($D$5:$D$260,#REF!,3,FALSE),0)</f>
        <v>0</v>
      </c>
      <c r="AA31" s="80">
        <f>IFERROR(VLOOKUP($D$5:$D$260,#REF!,3,FALSE),0)</f>
        <v>0</v>
      </c>
      <c r="AB31" s="243">
        <v>0</v>
      </c>
      <c r="AC31" s="202">
        <f t="shared" si="5"/>
        <v>0</v>
      </c>
      <c r="AD31" s="259">
        <f t="shared" si="6"/>
        <v>-490000</v>
      </c>
      <c r="AE31" s="260">
        <f t="shared" si="7"/>
        <v>-1</v>
      </c>
      <c r="AF31" s="260">
        <f t="shared" si="8"/>
        <v>-1</v>
      </c>
      <c r="AG31" s="260">
        <f t="shared" si="9"/>
        <v>-1</v>
      </c>
    </row>
    <row r="32" spans="1:592" s="13" customFormat="1" ht="31.5" x14ac:dyDescent="0.2">
      <c r="A32" s="10" t="s">
        <v>33</v>
      </c>
      <c r="B32" s="11">
        <v>26593980</v>
      </c>
      <c r="C32" s="11" t="s">
        <v>318</v>
      </c>
      <c r="D32" s="11">
        <v>7559709</v>
      </c>
      <c r="E32" s="225" t="s">
        <v>321</v>
      </c>
      <c r="F32" s="192" t="s">
        <v>294</v>
      </c>
      <c r="G32" s="201">
        <f>IFERROR(VLOOKUP(D32,List1!$A$5:$B$227,2,FALSE),"0")</f>
        <v>5832000</v>
      </c>
      <c r="H32" s="41" t="str">
        <f>IFERROR(VLOOKUP(D32,List1!$D$5:$E$41,2,FALSE),"0")</f>
        <v>0</v>
      </c>
      <c r="I32" s="41">
        <f>IFERROR(VLOOKUP(D32,List1!$G$5:$H$227,2,FALSE),"0")</f>
        <v>1279387</v>
      </c>
      <c r="J32" s="40">
        <f t="shared" si="2"/>
        <v>7111387</v>
      </c>
      <c r="K32" s="41">
        <f>IFERROR(VLOOKUP(D32,List1!$J$5:$K$227,2,FALSE),"0")</f>
        <v>290000</v>
      </c>
      <c r="L32" s="41">
        <f>IFERROR(VLOOKUP(D32,List1!$M$5:$N$112,2,FALSE),"0")</f>
        <v>154000</v>
      </c>
      <c r="M32" s="43">
        <v>0</v>
      </c>
      <c r="N32" s="80">
        <f>VLOOKUP($D$5:$D$251,List2!$A$2:$B$241,2,FALSE)</f>
        <v>1341417</v>
      </c>
      <c r="O32" s="80">
        <f>IFERROR(VLOOKUP($D$5:$D$260,List1!$Y$5:$Z$244,2,FALSE),0)</f>
        <v>0</v>
      </c>
      <c r="P32" s="202">
        <f>IFERROR(VLOOKUP($D$5:$D$260,List1!$AB$5:$AC$244,2,FALSE),0)</f>
        <v>0</v>
      </c>
      <c r="Q32" s="201">
        <f>IFERROR(VLOOKUP($D$5:$D$260,List1!$S$5:$T$231,2,FALSE),0)</f>
        <v>7301639</v>
      </c>
      <c r="R32" s="41">
        <v>0</v>
      </c>
      <c r="S32" s="41">
        <f>IFERROR(VLOOKUP($D$5:$D$260,List1!$AE$5:$AF$231,2,FALSE),0)</f>
        <v>1450000</v>
      </c>
      <c r="T32" s="41">
        <f t="shared" si="3"/>
        <v>8751639</v>
      </c>
      <c r="U32" s="41">
        <f>IFERROR(VLOOKUP(D32,List1!$P$5:$Q$110,2,FALSE),"0")</f>
        <v>490000</v>
      </c>
      <c r="V32" s="41">
        <v>0</v>
      </c>
      <c r="W32" s="248">
        <v>0</v>
      </c>
      <c r="X32" s="211">
        <f t="shared" si="4"/>
        <v>9241639</v>
      </c>
      <c r="Y32" s="219"/>
      <c r="Z32" s="80">
        <f>IFERROR(VLOOKUP($D$5:$D$260,#REF!,3,FALSE),0)</f>
        <v>0</v>
      </c>
      <c r="AA32" s="80">
        <f>IFERROR(VLOOKUP($D$5:$D$260,#REF!,3,FALSE),0)</f>
        <v>0</v>
      </c>
      <c r="AB32" s="243">
        <v>0</v>
      </c>
      <c r="AC32" s="202">
        <f t="shared" si="5"/>
        <v>0</v>
      </c>
      <c r="AD32" s="259">
        <f t="shared" si="6"/>
        <v>-490000</v>
      </c>
      <c r="AE32" s="260">
        <f t="shared" si="7"/>
        <v>-1</v>
      </c>
      <c r="AF32" s="260">
        <f t="shared" si="8"/>
        <v>-1</v>
      </c>
      <c r="AG32" s="260">
        <f t="shared" si="9"/>
        <v>-1</v>
      </c>
    </row>
    <row r="33" spans="1:592" s="13" customFormat="1" ht="31.5" x14ac:dyDescent="0.2">
      <c r="A33" s="10" t="s">
        <v>33</v>
      </c>
      <c r="B33" s="11">
        <v>26593980</v>
      </c>
      <c r="C33" s="11" t="s">
        <v>318</v>
      </c>
      <c r="D33" s="11">
        <v>9349276</v>
      </c>
      <c r="E33" s="225" t="s">
        <v>321</v>
      </c>
      <c r="F33" s="192" t="s">
        <v>294</v>
      </c>
      <c r="G33" s="201">
        <f>IFERROR(VLOOKUP(D33,List1!$A$5:$B$227,2,FALSE),"0")</f>
        <v>3531000</v>
      </c>
      <c r="H33" s="41" t="str">
        <f>IFERROR(VLOOKUP(D33,List1!$D$5:$E$41,2,FALSE),"0")</f>
        <v>0</v>
      </c>
      <c r="I33" s="41">
        <f>IFERROR(VLOOKUP(D33,List1!$G$5:$H$227,2,FALSE),"0")</f>
        <v>749326</v>
      </c>
      <c r="J33" s="40">
        <f t="shared" si="2"/>
        <v>4280326</v>
      </c>
      <c r="K33" s="41">
        <f>IFERROR(VLOOKUP(D33,List1!$J$5:$K$227,2,FALSE),"0")</f>
        <v>265000</v>
      </c>
      <c r="L33" s="41">
        <f>IFERROR(VLOOKUP(D33,List1!$M$5:$N$112,2,FALSE),"0")</f>
        <v>93000</v>
      </c>
      <c r="M33" s="43">
        <v>0</v>
      </c>
      <c r="N33" s="80">
        <f>VLOOKUP($D$5:$D$251,List2!$A$2:$B$241,2,FALSE)</f>
        <v>195929</v>
      </c>
      <c r="O33" s="80">
        <f>IFERROR(VLOOKUP($D$5:$D$260,List1!$Y$5:$Z$244,2,FALSE),0)</f>
        <v>0</v>
      </c>
      <c r="P33" s="202">
        <f>IFERROR(VLOOKUP($D$5:$D$260,List1!$AB$5:$AC$244,2,FALSE),0)</f>
        <v>0</v>
      </c>
      <c r="Q33" s="201">
        <f>IFERROR(VLOOKUP($D$5:$D$260,List1!$S$5:$T$231,2,FALSE),0)</f>
        <v>4423934</v>
      </c>
      <c r="R33" s="41">
        <v>0</v>
      </c>
      <c r="S33" s="41">
        <f>IFERROR(VLOOKUP($D$5:$D$260,List1!$AE$5:$AF$231,2,FALSE),0)</f>
        <v>900000</v>
      </c>
      <c r="T33" s="41">
        <f t="shared" si="3"/>
        <v>5323934</v>
      </c>
      <c r="U33" s="41">
        <f>IFERROR(VLOOKUP(D33,List1!$P$5:$Q$110,2,FALSE),"0")</f>
        <v>490000</v>
      </c>
      <c r="V33" s="41">
        <v>0</v>
      </c>
      <c r="W33" s="248">
        <v>0</v>
      </c>
      <c r="X33" s="211">
        <f t="shared" si="4"/>
        <v>5813934</v>
      </c>
      <c r="Y33" s="219"/>
      <c r="Z33" s="80">
        <f>IFERROR(VLOOKUP($D$5:$D$260,#REF!,3,FALSE),0)</f>
        <v>0</v>
      </c>
      <c r="AA33" s="80">
        <f>IFERROR(VLOOKUP($D$5:$D$260,#REF!,3,FALSE),0)</f>
        <v>0</v>
      </c>
      <c r="AB33" s="243">
        <v>0</v>
      </c>
      <c r="AC33" s="202">
        <f t="shared" si="5"/>
        <v>0</v>
      </c>
      <c r="AD33" s="259">
        <f t="shared" si="6"/>
        <v>-490000</v>
      </c>
      <c r="AE33" s="260">
        <f t="shared" si="7"/>
        <v>-1</v>
      </c>
      <c r="AF33" s="260">
        <f t="shared" si="8"/>
        <v>-1</v>
      </c>
      <c r="AG33" s="260">
        <f t="shared" si="9"/>
        <v>-1</v>
      </c>
    </row>
    <row r="34" spans="1:592" s="20" customFormat="1" ht="31.5" x14ac:dyDescent="0.2">
      <c r="A34" s="10" t="s">
        <v>33</v>
      </c>
      <c r="B34" s="11">
        <v>26593980</v>
      </c>
      <c r="C34" s="11" t="s">
        <v>318</v>
      </c>
      <c r="D34" s="11">
        <v>3852372</v>
      </c>
      <c r="E34" s="225" t="s">
        <v>321</v>
      </c>
      <c r="F34" s="192" t="s">
        <v>294</v>
      </c>
      <c r="G34" s="201">
        <f>IFERROR(VLOOKUP(D34,List1!$A$5:$B$227,2,FALSE),"0")</f>
        <v>3790000</v>
      </c>
      <c r="H34" s="41" t="str">
        <f>IFERROR(VLOOKUP(D34,List1!$D$5:$E$41,2,FALSE),"0")</f>
        <v>0</v>
      </c>
      <c r="I34" s="41">
        <f>IFERROR(VLOOKUP(D34,List1!$G$5:$H$227,2,FALSE),"0")</f>
        <v>804969</v>
      </c>
      <c r="J34" s="40">
        <f t="shared" si="2"/>
        <v>4594969</v>
      </c>
      <c r="K34" s="41">
        <f>IFERROR(VLOOKUP(D34,List1!$J$5:$K$227,2,FALSE),"0")</f>
        <v>284000</v>
      </c>
      <c r="L34" s="41">
        <f>IFERROR(VLOOKUP(D34,List1!$M$5:$N$112,2,FALSE),"0")</f>
        <v>100000</v>
      </c>
      <c r="M34" s="43">
        <v>0</v>
      </c>
      <c r="N34" s="80">
        <f>VLOOKUP($D$5:$D$251,List2!$A$2:$B$241,2,FALSE)</f>
        <v>14000</v>
      </c>
      <c r="O34" s="80">
        <f>IFERROR(VLOOKUP($D$5:$D$260,List1!$Y$5:$Z$244,2,FALSE),0)</f>
        <v>0</v>
      </c>
      <c r="P34" s="202">
        <f>IFERROR(VLOOKUP($D$5:$D$260,List1!$AB$5:$AC$244,2,FALSE),0)</f>
        <v>0</v>
      </c>
      <c r="Q34" s="201">
        <f>IFERROR(VLOOKUP($D$5:$D$260,List1!$S$5:$T$231,2,FALSE),0)</f>
        <v>4746065</v>
      </c>
      <c r="R34" s="41">
        <v>0</v>
      </c>
      <c r="S34" s="41">
        <f>IFERROR(VLOOKUP($D$5:$D$260,List1!$AE$5:$AF$231,2,FALSE),0)</f>
        <v>950000</v>
      </c>
      <c r="T34" s="41">
        <f t="shared" si="3"/>
        <v>5696065</v>
      </c>
      <c r="U34" s="41">
        <f>IFERROR(VLOOKUP(D34,List1!$P$5:$Q$110,2,FALSE),"0")</f>
        <v>490000</v>
      </c>
      <c r="V34" s="41">
        <v>0</v>
      </c>
      <c r="W34" s="248">
        <v>0</v>
      </c>
      <c r="X34" s="211">
        <f t="shared" si="4"/>
        <v>6186065</v>
      </c>
      <c r="Y34" s="219"/>
      <c r="Z34" s="80">
        <f>IFERROR(VLOOKUP($D$5:$D$260,#REF!,3,FALSE),0)</f>
        <v>0</v>
      </c>
      <c r="AA34" s="80">
        <f>IFERROR(VLOOKUP($D$5:$D$260,#REF!,3,FALSE),0)</f>
        <v>0</v>
      </c>
      <c r="AB34" s="243">
        <v>0</v>
      </c>
      <c r="AC34" s="202">
        <f t="shared" si="5"/>
        <v>0</v>
      </c>
      <c r="AD34" s="259">
        <f t="shared" si="6"/>
        <v>-490000</v>
      </c>
      <c r="AE34" s="260">
        <f t="shared" si="7"/>
        <v>-1</v>
      </c>
      <c r="AF34" s="260">
        <f t="shared" si="8"/>
        <v>-1</v>
      </c>
      <c r="AG34" s="260">
        <f t="shared" si="9"/>
        <v>-1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</row>
    <row r="35" spans="1:592" s="13" customFormat="1" ht="31.5" x14ac:dyDescent="0.2">
      <c r="A35" s="10" t="s">
        <v>33</v>
      </c>
      <c r="B35" s="11">
        <v>26593980</v>
      </c>
      <c r="C35" s="11" t="s">
        <v>318</v>
      </c>
      <c r="D35" s="11">
        <v>1656576</v>
      </c>
      <c r="E35" s="225" t="s">
        <v>283</v>
      </c>
      <c r="F35" s="192" t="s">
        <v>294</v>
      </c>
      <c r="G35" s="201">
        <f>IFERROR(VLOOKUP(D35,List1!$A$5:$B$227,2,FALSE),"0")</f>
        <v>1100000</v>
      </c>
      <c r="H35" s="41" t="str">
        <f>IFERROR(VLOOKUP(D35,List1!$D$5:$E$41,2,FALSE),"0")</f>
        <v>0</v>
      </c>
      <c r="I35" s="41">
        <f>IFERROR(VLOOKUP(D35,List1!$G$5:$H$227,2,FALSE),"0")</f>
        <v>246240</v>
      </c>
      <c r="J35" s="40">
        <f t="shared" si="2"/>
        <v>1346240</v>
      </c>
      <c r="K35" s="41">
        <f>IFERROR(VLOOKUP(D35,List1!$J$5:$K$227,2,FALSE),"0")</f>
        <v>72000</v>
      </c>
      <c r="L35" s="41">
        <f>IFERROR(VLOOKUP(D35,List1!$M$5:$N$112,2,FALSE),"0")</f>
        <v>25000</v>
      </c>
      <c r="M35" s="43">
        <v>0</v>
      </c>
      <c r="N35" s="80">
        <f>VLOOKUP($D$5:$D$251,List2!$A$2:$B$241,2,FALSE)</f>
        <v>215661</v>
      </c>
      <c r="O35" s="80">
        <f>IFERROR(VLOOKUP($D$5:$D$260,List1!$Y$5:$Z$244,2,FALSE),0)</f>
        <v>0</v>
      </c>
      <c r="P35" s="202">
        <f>IFERROR(VLOOKUP($D$5:$D$260,List1!$AB$5:$AC$244,2,FALSE),0)</f>
        <v>0</v>
      </c>
      <c r="Q35" s="201">
        <f>IFERROR(VLOOKUP($D$5:$D$260,List1!$S$5:$T$231,2,FALSE),0)</f>
        <v>1125201</v>
      </c>
      <c r="R35" s="41">
        <v>0</v>
      </c>
      <c r="S35" s="41">
        <f>IFERROR(VLOOKUP($D$5:$D$260,List1!$AE$5:$AF$231,2,FALSE),0)</f>
        <v>200000</v>
      </c>
      <c r="T35" s="41">
        <f t="shared" si="3"/>
        <v>1325201</v>
      </c>
      <c r="U35" s="41">
        <f>IFERROR(VLOOKUP(D35,List1!$P$5:$Q$110,2,FALSE),"0")</f>
        <v>236000</v>
      </c>
      <c r="V35" s="41">
        <v>0</v>
      </c>
      <c r="W35" s="248">
        <v>0</v>
      </c>
      <c r="X35" s="211">
        <f t="shared" si="4"/>
        <v>1561201</v>
      </c>
      <c r="Y35" s="219"/>
      <c r="Z35" s="80">
        <f>IFERROR(VLOOKUP($D$5:$D$260,#REF!,3,FALSE),0)</f>
        <v>0</v>
      </c>
      <c r="AA35" s="80">
        <f>IFERROR(VLOOKUP($D$5:$D$260,#REF!,3,FALSE),0)</f>
        <v>0</v>
      </c>
      <c r="AB35" s="243">
        <v>0</v>
      </c>
      <c r="AC35" s="202">
        <f t="shared" si="5"/>
        <v>0</v>
      </c>
      <c r="AD35" s="259">
        <f t="shared" si="6"/>
        <v>-236000</v>
      </c>
      <c r="AE35" s="260">
        <f t="shared" si="7"/>
        <v>-1</v>
      </c>
      <c r="AF35" s="260">
        <f t="shared" si="8"/>
        <v>-1</v>
      </c>
      <c r="AG35" s="260">
        <f t="shared" si="9"/>
        <v>-1</v>
      </c>
    </row>
    <row r="36" spans="1:592" s="20" customFormat="1" ht="31.5" x14ac:dyDescent="0.2">
      <c r="A36" s="10" t="s">
        <v>33</v>
      </c>
      <c r="B36" s="11">
        <v>26593980</v>
      </c>
      <c r="C36" s="11" t="s">
        <v>318</v>
      </c>
      <c r="D36" s="11">
        <v>2164863</v>
      </c>
      <c r="E36" s="225" t="s">
        <v>283</v>
      </c>
      <c r="F36" s="192" t="s">
        <v>294</v>
      </c>
      <c r="G36" s="201">
        <f>IFERROR(VLOOKUP(D36,List1!$A$5:$B$227,2,FALSE),"0")</f>
        <v>644000</v>
      </c>
      <c r="H36" s="41" t="str">
        <f>IFERROR(VLOOKUP(D36,List1!$D$5:$E$41,2,FALSE),"0")</f>
        <v>0</v>
      </c>
      <c r="I36" s="41">
        <f>IFERROR(VLOOKUP(D36,List1!$G$5:$H$227,2,FALSE),"0")</f>
        <v>210053</v>
      </c>
      <c r="J36" s="40">
        <f t="shared" si="2"/>
        <v>854053</v>
      </c>
      <c r="K36" s="41">
        <f>IFERROR(VLOOKUP(D36,List1!$J$5:$K$227,2,FALSE),"0")</f>
        <v>44000</v>
      </c>
      <c r="L36" s="41">
        <f>IFERROR(VLOOKUP(D36,List1!$M$5:$N$112,2,FALSE),"0")</f>
        <v>15000</v>
      </c>
      <c r="M36" s="43">
        <v>0</v>
      </c>
      <c r="N36" s="80">
        <f>VLOOKUP($D$5:$D$251,List2!$A$2:$B$241,2,FALSE)</f>
        <v>53286</v>
      </c>
      <c r="O36" s="80">
        <f>IFERROR(VLOOKUP($D$5:$D$260,List1!$Y$5:$Z$244,2,FALSE),0)</f>
        <v>0</v>
      </c>
      <c r="P36" s="202">
        <f>IFERROR(VLOOKUP($D$5:$D$260,List1!$AB$5:$AC$244,2,FALSE),0)</f>
        <v>0</v>
      </c>
      <c r="Q36" s="201">
        <f>IFERROR(VLOOKUP($D$5:$D$260,List1!$S$5:$T$231,2,FALSE),0)</f>
        <v>683158</v>
      </c>
      <c r="R36" s="41">
        <v>0</v>
      </c>
      <c r="S36" s="41">
        <f>IFERROR(VLOOKUP($D$5:$D$260,List1!$AE$5:$AF$231,2,FALSE),0)</f>
        <v>150000</v>
      </c>
      <c r="T36" s="41">
        <f t="shared" si="3"/>
        <v>833158</v>
      </c>
      <c r="U36" s="41">
        <f>IFERROR(VLOOKUP(D36,List1!$P$5:$Q$110,2,FALSE),"0")</f>
        <v>143000</v>
      </c>
      <c r="V36" s="41">
        <v>0</v>
      </c>
      <c r="W36" s="248">
        <v>0</v>
      </c>
      <c r="X36" s="211">
        <f t="shared" si="4"/>
        <v>976158</v>
      </c>
      <c r="Y36" s="219"/>
      <c r="Z36" s="80">
        <f>IFERROR(VLOOKUP($D$5:$D$260,#REF!,3,FALSE),0)</f>
        <v>0</v>
      </c>
      <c r="AA36" s="80">
        <f>IFERROR(VLOOKUP($D$5:$D$260,#REF!,3,FALSE),0)</f>
        <v>0</v>
      </c>
      <c r="AB36" s="243">
        <v>0</v>
      </c>
      <c r="AC36" s="202">
        <f t="shared" si="5"/>
        <v>0</v>
      </c>
      <c r="AD36" s="259">
        <f t="shared" si="6"/>
        <v>-143000</v>
      </c>
      <c r="AE36" s="260">
        <f t="shared" si="7"/>
        <v>-1</v>
      </c>
      <c r="AF36" s="260">
        <f t="shared" si="8"/>
        <v>-1</v>
      </c>
      <c r="AG36" s="260">
        <f t="shared" si="9"/>
        <v>-1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</row>
    <row r="37" spans="1:592" s="21" customFormat="1" ht="31.5" x14ac:dyDescent="0.2">
      <c r="A37" s="10" t="s">
        <v>33</v>
      </c>
      <c r="B37" s="11">
        <v>26593980</v>
      </c>
      <c r="C37" s="11" t="s">
        <v>318</v>
      </c>
      <c r="D37" s="11">
        <v>5362299</v>
      </c>
      <c r="E37" s="225" t="s">
        <v>283</v>
      </c>
      <c r="F37" s="192" t="s">
        <v>294</v>
      </c>
      <c r="G37" s="201">
        <f>IFERROR(VLOOKUP(D37,List1!$A$5:$B$227,2,FALSE),"0")</f>
        <v>620000</v>
      </c>
      <c r="H37" s="41" t="str">
        <f>IFERROR(VLOOKUP(D37,List1!$D$5:$E$41,2,FALSE),"0")</f>
        <v>0</v>
      </c>
      <c r="I37" s="41">
        <f>IFERROR(VLOOKUP(D37,List1!$G$5:$H$227,2,FALSE),"0")</f>
        <v>51000</v>
      </c>
      <c r="J37" s="40">
        <f t="shared" si="2"/>
        <v>671000</v>
      </c>
      <c r="K37" s="41">
        <f>IFERROR(VLOOKUP(D37,List1!$J$5:$K$227,2,FALSE),"0")</f>
        <v>36000</v>
      </c>
      <c r="L37" s="41">
        <f>IFERROR(VLOOKUP(D37,List1!$M$5:$N$112,2,FALSE),"0")</f>
        <v>15000</v>
      </c>
      <c r="M37" s="43">
        <v>0</v>
      </c>
      <c r="N37" s="80">
        <f>VLOOKUP($D$5:$D$251,List2!$A$2:$B$241,2,FALSE)</f>
        <v>154000</v>
      </c>
      <c r="O37" s="80">
        <f>IFERROR(VLOOKUP($D$5:$D$260,List1!$Y$5:$Z$244,2,FALSE),0)</f>
        <v>0</v>
      </c>
      <c r="P37" s="202">
        <f>IFERROR(VLOOKUP($D$5:$D$260,List1!$AB$5:$AC$244,2,FALSE),0)</f>
        <v>0</v>
      </c>
      <c r="Q37" s="201">
        <f>IFERROR(VLOOKUP($D$5:$D$260,List1!$S$5:$T$231,2,FALSE),0)</f>
        <v>683158</v>
      </c>
      <c r="R37" s="41">
        <v>0</v>
      </c>
      <c r="S37" s="41">
        <f>IFERROR(VLOOKUP($D$5:$D$260,List1!$AE$5:$AF$231,2,FALSE),0)</f>
        <v>150000</v>
      </c>
      <c r="T37" s="41">
        <f t="shared" si="3"/>
        <v>833158</v>
      </c>
      <c r="U37" s="41">
        <f>IFERROR(VLOOKUP(D37,List1!$P$5:$Q$110,2,FALSE),"0")</f>
        <v>99000</v>
      </c>
      <c r="V37" s="41">
        <v>0</v>
      </c>
      <c r="W37" s="248">
        <v>0</v>
      </c>
      <c r="X37" s="211">
        <f t="shared" si="4"/>
        <v>932158</v>
      </c>
      <c r="Y37" s="219"/>
      <c r="Z37" s="80">
        <f>IFERROR(VLOOKUP($D$5:$D$260,#REF!,3,FALSE),0)</f>
        <v>0</v>
      </c>
      <c r="AA37" s="80">
        <f>IFERROR(VLOOKUP($D$5:$D$260,#REF!,3,FALSE),0)</f>
        <v>0</v>
      </c>
      <c r="AB37" s="243">
        <v>0</v>
      </c>
      <c r="AC37" s="202">
        <f t="shared" si="5"/>
        <v>0</v>
      </c>
      <c r="AD37" s="259">
        <f t="shared" si="6"/>
        <v>-99000</v>
      </c>
      <c r="AE37" s="260">
        <f t="shared" si="7"/>
        <v>-1</v>
      </c>
      <c r="AF37" s="260">
        <f t="shared" si="8"/>
        <v>-1</v>
      </c>
      <c r="AG37" s="260">
        <f t="shared" si="9"/>
        <v>-1</v>
      </c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</row>
    <row r="38" spans="1:592" s="13" customFormat="1" ht="31.5" x14ac:dyDescent="0.2">
      <c r="A38" s="10" t="s">
        <v>33</v>
      </c>
      <c r="B38" s="11">
        <v>26593980</v>
      </c>
      <c r="C38" s="11" t="s">
        <v>318</v>
      </c>
      <c r="D38" s="11">
        <v>6806376</v>
      </c>
      <c r="E38" s="225" t="s">
        <v>283</v>
      </c>
      <c r="F38" s="192" t="s">
        <v>294</v>
      </c>
      <c r="G38" s="201">
        <f>IFERROR(VLOOKUP(D38,List1!$A$5:$B$227,2,FALSE),"0")</f>
        <v>644000</v>
      </c>
      <c r="H38" s="41" t="str">
        <f>IFERROR(VLOOKUP(D38,List1!$D$5:$E$41,2,FALSE),"0")</f>
        <v>0</v>
      </c>
      <c r="I38" s="41">
        <f>IFERROR(VLOOKUP(D38,List1!$G$5:$H$227,2,FALSE),"0")</f>
        <v>210053</v>
      </c>
      <c r="J38" s="40">
        <f t="shared" si="2"/>
        <v>854053</v>
      </c>
      <c r="K38" s="41">
        <f>IFERROR(VLOOKUP(D38,List1!$J$5:$K$227,2,FALSE),"0")</f>
        <v>36000</v>
      </c>
      <c r="L38" s="41">
        <f>IFERROR(VLOOKUP(D38,List1!$M$5:$N$112,2,FALSE),"0")</f>
        <v>15000</v>
      </c>
      <c r="M38" s="43">
        <v>0</v>
      </c>
      <c r="N38" s="80">
        <f>VLOOKUP($D$5:$D$251,List2!$A$2:$B$241,2,FALSE)</f>
        <v>100000</v>
      </c>
      <c r="O38" s="80">
        <f>IFERROR(VLOOKUP($D$5:$D$260,List1!$Y$5:$Z$244,2,FALSE),0)</f>
        <v>0</v>
      </c>
      <c r="P38" s="202">
        <f>IFERROR(VLOOKUP($D$5:$D$260,List1!$AB$5:$AC$244,2,FALSE),0)</f>
        <v>0</v>
      </c>
      <c r="Q38" s="201">
        <f>IFERROR(VLOOKUP($D$5:$D$260,List1!$S$5:$T$231,2,FALSE),0)</f>
        <v>683158</v>
      </c>
      <c r="R38" s="41">
        <v>0</v>
      </c>
      <c r="S38" s="41">
        <f>IFERROR(VLOOKUP($D$5:$D$260,List1!$AE$5:$AF$231,2,FALSE),0)</f>
        <v>150000</v>
      </c>
      <c r="T38" s="41">
        <f t="shared" si="3"/>
        <v>833158</v>
      </c>
      <c r="U38" s="41">
        <f>IFERROR(VLOOKUP(D38,List1!$P$5:$Q$110,2,FALSE),"0")</f>
        <v>99000</v>
      </c>
      <c r="V38" s="41">
        <v>0</v>
      </c>
      <c r="W38" s="248">
        <v>0</v>
      </c>
      <c r="X38" s="211">
        <f t="shared" si="4"/>
        <v>932158</v>
      </c>
      <c r="Y38" s="219"/>
      <c r="Z38" s="80">
        <f>IFERROR(VLOOKUP($D$5:$D$260,#REF!,3,FALSE),0)</f>
        <v>0</v>
      </c>
      <c r="AA38" s="80">
        <f>IFERROR(VLOOKUP($D$5:$D$260,#REF!,3,FALSE),0)</f>
        <v>0</v>
      </c>
      <c r="AB38" s="243">
        <v>0</v>
      </c>
      <c r="AC38" s="202">
        <f t="shared" si="5"/>
        <v>0</v>
      </c>
      <c r="AD38" s="259">
        <f t="shared" si="6"/>
        <v>-99000</v>
      </c>
      <c r="AE38" s="260">
        <f t="shared" si="7"/>
        <v>-1</v>
      </c>
      <c r="AF38" s="260">
        <f t="shared" si="8"/>
        <v>-1</v>
      </c>
      <c r="AG38" s="260">
        <f t="shared" si="9"/>
        <v>-1</v>
      </c>
    </row>
    <row r="39" spans="1:592" s="20" customFormat="1" ht="31.5" x14ac:dyDescent="0.2">
      <c r="A39" s="10" t="s">
        <v>33</v>
      </c>
      <c r="B39" s="11">
        <v>26593980</v>
      </c>
      <c r="C39" s="11" t="s">
        <v>318</v>
      </c>
      <c r="D39" s="11">
        <v>2453453</v>
      </c>
      <c r="E39" s="228" t="s">
        <v>322</v>
      </c>
      <c r="F39" s="192" t="s">
        <v>294</v>
      </c>
      <c r="G39" s="201">
        <f>IFERROR(VLOOKUP(D39,List1!$A$5:$B$227,2,FALSE),"0")</f>
        <v>833000</v>
      </c>
      <c r="H39" s="41" t="str">
        <f>IFERROR(VLOOKUP(D39,List1!$D$5:$E$41,2,FALSE),"0")</f>
        <v>0</v>
      </c>
      <c r="I39" s="41" t="str">
        <f>IFERROR(VLOOKUP(D39,List1!$G$5:$H$227,2,FALSE),"0")</f>
        <v>0</v>
      </c>
      <c r="J39" s="40">
        <f t="shared" si="2"/>
        <v>833000</v>
      </c>
      <c r="K39" s="41">
        <f>IFERROR(VLOOKUP(D39,List1!$J$5:$K$227,2,FALSE),"0")</f>
        <v>32000</v>
      </c>
      <c r="L39" s="41">
        <f>IFERROR(VLOOKUP(D39,List1!$M$5:$N$112,2,FALSE),"0")</f>
        <v>13000</v>
      </c>
      <c r="M39" s="43">
        <v>0</v>
      </c>
      <c r="N39" s="80">
        <f>VLOOKUP($D$5:$D$251,List2!$A$2:$B$241,2,FALSE)</f>
        <v>48934</v>
      </c>
      <c r="O39" s="80">
        <f>IFERROR(VLOOKUP($D$5:$D$260,List1!$Y$5:$Z$244,2,FALSE),0)</f>
        <v>0</v>
      </c>
      <c r="P39" s="202">
        <f>IFERROR(VLOOKUP($D$5:$D$260,List1!$AB$5:$AC$244,2,FALSE),0)</f>
        <v>0</v>
      </c>
      <c r="Q39" s="201">
        <f>IFERROR(VLOOKUP($D$5:$D$260,List1!$S$5:$T$231,2,FALSE),0)</f>
        <v>788046</v>
      </c>
      <c r="R39" s="41">
        <v>0</v>
      </c>
      <c r="S39" s="41">
        <f>IFERROR(VLOOKUP($D$5:$D$260,List1!$AE$5:$AF$231,2,FALSE),0)</f>
        <v>200000</v>
      </c>
      <c r="T39" s="41">
        <f t="shared" si="3"/>
        <v>988046</v>
      </c>
      <c r="U39" s="41">
        <f>IFERROR(VLOOKUP(D39,List1!$P$5:$Q$110,2,FALSE),"0")</f>
        <v>87000</v>
      </c>
      <c r="V39" s="41">
        <v>0</v>
      </c>
      <c r="W39" s="248">
        <v>0</v>
      </c>
      <c r="X39" s="211">
        <f t="shared" si="4"/>
        <v>1075046</v>
      </c>
      <c r="Y39" s="219"/>
      <c r="Z39" s="80">
        <f>IFERROR(VLOOKUP($D$5:$D$260,#REF!,3,FALSE),0)</f>
        <v>0</v>
      </c>
      <c r="AA39" s="80">
        <f>IFERROR(VLOOKUP($D$5:$D$260,#REF!,3,FALSE),0)</f>
        <v>0</v>
      </c>
      <c r="AB39" s="243">
        <v>0</v>
      </c>
      <c r="AC39" s="202">
        <f t="shared" si="5"/>
        <v>0</v>
      </c>
      <c r="AD39" s="259">
        <f t="shared" si="6"/>
        <v>-87000</v>
      </c>
      <c r="AE39" s="260">
        <f t="shared" si="7"/>
        <v>-1</v>
      </c>
      <c r="AF39" s="260">
        <f t="shared" si="8"/>
        <v>-1</v>
      </c>
      <c r="AG39" s="260">
        <f t="shared" si="9"/>
        <v>-1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</row>
    <row r="40" spans="1:592" s="13" customFormat="1" ht="63" x14ac:dyDescent="0.2">
      <c r="A40" s="10" t="s">
        <v>323</v>
      </c>
      <c r="B40" s="11">
        <v>43256503</v>
      </c>
      <c r="C40" s="11" t="s">
        <v>324</v>
      </c>
      <c r="D40" s="11">
        <v>8396068</v>
      </c>
      <c r="E40" s="225" t="s">
        <v>325</v>
      </c>
      <c r="F40" s="192" t="s">
        <v>300</v>
      </c>
      <c r="G40" s="201">
        <f>IFERROR(VLOOKUP(D40,List1!$A$5:$B$227,2,FALSE),"0")</f>
        <v>4689000</v>
      </c>
      <c r="H40" s="41" t="str">
        <f>IFERROR(VLOOKUP(D40,List1!$D$5:$E$41,2,FALSE),"0")</f>
        <v>0</v>
      </c>
      <c r="I40" s="41" t="str">
        <f>IFERROR(VLOOKUP(D40,List1!$G$5:$H$227,2,FALSE),"0")</f>
        <v>0</v>
      </c>
      <c r="J40" s="40">
        <f t="shared" si="2"/>
        <v>4689000</v>
      </c>
      <c r="K40" s="41" t="str">
        <f>IFERROR(VLOOKUP(D40,List1!$J$5:$K$227,2,FALSE),"0")</f>
        <v>0</v>
      </c>
      <c r="L40" s="41">
        <f>IFERROR(VLOOKUP(D40,List1!$M$5:$N$112,2,FALSE),"0")</f>
        <v>175000</v>
      </c>
      <c r="M40" s="43">
        <v>0</v>
      </c>
      <c r="N40" s="80">
        <f>VLOOKUP($D$5:$D$251,List2!$A$2:$B$241,2,FALSE)</f>
        <v>66749</v>
      </c>
      <c r="O40" s="80">
        <f>IFERROR(VLOOKUP($D$5:$D$260,List1!$Y$5:$Z$244,2,FALSE),0)</f>
        <v>0</v>
      </c>
      <c r="P40" s="202">
        <f>IFERROR(VLOOKUP($D$5:$D$260,List1!$AB$5:$AC$244,2,FALSE),0)</f>
        <v>0</v>
      </c>
      <c r="Q40" s="201">
        <f>IFERROR(VLOOKUP($D$5:$D$260,List1!$S$5:$T$231,2,FALSE),0)</f>
        <v>5722167</v>
      </c>
      <c r="R40" s="41">
        <v>0</v>
      </c>
      <c r="S40" s="41">
        <f>IFERROR(VLOOKUP($D$5:$D$260,List1!$AE$5:$AF$231,2,FALSE),0)</f>
        <v>1150000</v>
      </c>
      <c r="T40" s="41">
        <f t="shared" si="3"/>
        <v>6872167</v>
      </c>
      <c r="U40" s="41" t="str">
        <f>IFERROR(VLOOKUP(D40,List1!$P$5:$Q$110,2,FALSE),"0")</f>
        <v>0</v>
      </c>
      <c r="V40" s="41">
        <v>0</v>
      </c>
      <c r="W40" s="248">
        <v>0</v>
      </c>
      <c r="X40" s="211">
        <f t="shared" si="4"/>
        <v>6872167</v>
      </c>
      <c r="Y40" s="219"/>
      <c r="Z40" s="80">
        <f>IFERROR(VLOOKUP($D$5:$D$260,#REF!,3,FALSE),0)</f>
        <v>0</v>
      </c>
      <c r="AA40" s="80">
        <f>IFERROR(VLOOKUP($D$5:$D$260,#REF!,3,FALSE),0)</f>
        <v>0</v>
      </c>
      <c r="AB40" s="243">
        <v>0</v>
      </c>
      <c r="AC40" s="202">
        <f t="shared" si="5"/>
        <v>0</v>
      </c>
      <c r="AD40" s="259">
        <f t="shared" si="6"/>
        <v>0</v>
      </c>
      <c r="AE40" s="260">
        <f t="shared" si="7"/>
        <v>0</v>
      </c>
      <c r="AF40" s="260">
        <f t="shared" si="8"/>
        <v>0</v>
      </c>
      <c r="AG40" s="260">
        <f t="shared" si="9"/>
        <v>0</v>
      </c>
    </row>
    <row r="41" spans="1:592" s="13" customFormat="1" ht="63" x14ac:dyDescent="0.2">
      <c r="A41" s="10" t="s">
        <v>323</v>
      </c>
      <c r="B41" s="11">
        <v>43256503</v>
      </c>
      <c r="C41" s="11" t="s">
        <v>324</v>
      </c>
      <c r="D41" s="11">
        <v>1947710</v>
      </c>
      <c r="E41" s="225" t="s">
        <v>283</v>
      </c>
      <c r="F41" s="192" t="s">
        <v>278</v>
      </c>
      <c r="G41" s="201">
        <f>IFERROR(VLOOKUP(D41,List1!$A$5:$B$227,2,FALSE),"0")</f>
        <v>893000</v>
      </c>
      <c r="H41" s="41" t="str">
        <f>IFERROR(VLOOKUP(D41,List1!$D$5:$E$41,2,FALSE),"0")</f>
        <v>0</v>
      </c>
      <c r="I41" s="41" t="str">
        <f>IFERROR(VLOOKUP(D41,List1!$G$5:$H$227,2,FALSE),"0")</f>
        <v>0</v>
      </c>
      <c r="J41" s="40">
        <f t="shared" si="2"/>
        <v>893000</v>
      </c>
      <c r="K41" s="41" t="str">
        <f>IFERROR(VLOOKUP(D41,List1!$J$5:$K$227,2,FALSE),"0")</f>
        <v>0</v>
      </c>
      <c r="L41" s="41">
        <f>IFERROR(VLOOKUP(D41,List1!$M$5:$N$112,2,FALSE),"0")</f>
        <v>45000</v>
      </c>
      <c r="M41" s="43">
        <v>0</v>
      </c>
      <c r="N41" s="80">
        <f>VLOOKUP($D$5:$D$251,List2!$A$2:$B$241,2,FALSE)</f>
        <v>82647</v>
      </c>
      <c r="O41" s="80">
        <f>IFERROR(VLOOKUP($D$5:$D$260,List1!$Y$5:$Z$244,2,FALSE),0)</f>
        <v>0</v>
      </c>
      <c r="P41" s="202">
        <f>IFERROR(VLOOKUP($D$5:$D$260,List1!$AB$5:$AC$244,2,FALSE),0)</f>
        <v>0</v>
      </c>
      <c r="Q41" s="201">
        <f>IFERROR(VLOOKUP($D$5:$D$260,List1!$S$5:$T$231,2,FALSE),0)</f>
        <v>998499</v>
      </c>
      <c r="R41" s="41">
        <v>0</v>
      </c>
      <c r="S41" s="41">
        <f>IFERROR(VLOOKUP($D$5:$D$260,List1!$AE$5:$AF$231,2,FALSE),0)</f>
        <v>193844</v>
      </c>
      <c r="T41" s="41">
        <f t="shared" si="3"/>
        <v>1192343</v>
      </c>
      <c r="U41" s="41" t="str">
        <f>IFERROR(VLOOKUP(D41,List1!$P$5:$Q$110,2,FALSE),"0")</f>
        <v>0</v>
      </c>
      <c r="V41" s="41">
        <v>0</v>
      </c>
      <c r="W41" s="248">
        <v>0</v>
      </c>
      <c r="X41" s="211">
        <f t="shared" si="4"/>
        <v>1192343</v>
      </c>
      <c r="Y41" s="219"/>
      <c r="Z41" s="80">
        <f>IFERROR(VLOOKUP($D$5:$D$260,#REF!,3,FALSE),0)</f>
        <v>0</v>
      </c>
      <c r="AA41" s="80">
        <f>IFERROR(VLOOKUP($D$5:$D$260,#REF!,3,FALSE),0)</f>
        <v>0</v>
      </c>
      <c r="AB41" s="243">
        <v>0</v>
      </c>
      <c r="AC41" s="202">
        <f t="shared" si="5"/>
        <v>0</v>
      </c>
      <c r="AD41" s="259">
        <f t="shared" si="6"/>
        <v>0</v>
      </c>
      <c r="AE41" s="260">
        <f t="shared" si="7"/>
        <v>0</v>
      </c>
      <c r="AF41" s="260">
        <f t="shared" si="8"/>
        <v>0</v>
      </c>
      <c r="AG41" s="260">
        <f t="shared" si="9"/>
        <v>0</v>
      </c>
    </row>
    <row r="42" spans="1:592" s="13" customFormat="1" ht="63" x14ac:dyDescent="0.2">
      <c r="A42" s="10" t="s">
        <v>326</v>
      </c>
      <c r="B42" s="11">
        <v>65100654</v>
      </c>
      <c r="C42" s="11" t="s">
        <v>324</v>
      </c>
      <c r="D42" s="11">
        <v>6722018</v>
      </c>
      <c r="E42" s="225" t="s">
        <v>325</v>
      </c>
      <c r="F42" s="192" t="s">
        <v>300</v>
      </c>
      <c r="G42" s="201">
        <f>IFERROR(VLOOKUP(D42,List1!$A$5:$B$227,2,FALSE),"0")</f>
        <v>10577000</v>
      </c>
      <c r="H42" s="41" t="str">
        <f>IFERROR(VLOOKUP(D42,List1!$D$5:$E$41,2,FALSE),"0")</f>
        <v>0</v>
      </c>
      <c r="I42" s="41">
        <f>IFERROR(VLOOKUP(D42,List1!$G$5:$H$227,2,FALSE),"0")</f>
        <v>1360437</v>
      </c>
      <c r="J42" s="40">
        <f t="shared" si="2"/>
        <v>11937437</v>
      </c>
      <c r="K42" s="41" t="str">
        <f>IFERROR(VLOOKUP(D42,List1!$J$5:$K$227,2,FALSE),"0")</f>
        <v>0</v>
      </c>
      <c r="L42" s="41">
        <f>IFERROR(VLOOKUP(D42,List1!$M$5:$N$112,2,FALSE),"0")</f>
        <v>290000</v>
      </c>
      <c r="M42" s="43">
        <v>0</v>
      </c>
      <c r="N42" s="80">
        <f>VLOOKUP($D$5:$D$251,List2!$A$2:$B$241,2,FALSE)</f>
        <v>78398.09</v>
      </c>
      <c r="O42" s="80">
        <f>IFERROR(VLOOKUP($D$5:$D$260,List1!$Y$5:$Z$244,2,FALSE),0)</f>
        <v>0</v>
      </c>
      <c r="P42" s="202">
        <f>IFERROR(VLOOKUP($D$5:$D$260,List1!$AB$5:$AC$244,2,FALSE),0)</f>
        <v>0</v>
      </c>
      <c r="Q42" s="201">
        <f>IFERROR(VLOOKUP($D$5:$D$260,List1!$S$5:$T$231,2,FALSE),0)</f>
        <v>13825370</v>
      </c>
      <c r="R42" s="41">
        <v>0</v>
      </c>
      <c r="S42" s="41">
        <f>IFERROR(VLOOKUP($D$5:$D$260,List1!$AE$5:$AF$231,2,FALSE),0)</f>
        <v>2750000</v>
      </c>
      <c r="T42" s="41">
        <f t="shared" si="3"/>
        <v>16575370</v>
      </c>
      <c r="U42" s="41" t="str">
        <f>IFERROR(VLOOKUP(D42,List1!$P$5:$Q$110,2,FALSE),"0")</f>
        <v>0</v>
      </c>
      <c r="V42" s="41">
        <v>0</v>
      </c>
      <c r="W42" s="248">
        <v>0</v>
      </c>
      <c r="X42" s="211">
        <f t="shared" si="4"/>
        <v>16575370</v>
      </c>
      <c r="Y42" s="219"/>
      <c r="Z42" s="80">
        <f>IFERROR(VLOOKUP($D$5:$D$260,#REF!,3,FALSE),0)</f>
        <v>0</v>
      </c>
      <c r="AA42" s="80">
        <f>IFERROR(VLOOKUP($D$5:$D$260,#REF!,3,FALSE),0)</f>
        <v>0</v>
      </c>
      <c r="AB42" s="243">
        <v>0</v>
      </c>
      <c r="AC42" s="202">
        <f t="shared" si="5"/>
        <v>0</v>
      </c>
      <c r="AD42" s="259">
        <f t="shared" si="6"/>
        <v>0</v>
      </c>
      <c r="AE42" s="260">
        <f t="shared" si="7"/>
        <v>0</v>
      </c>
      <c r="AF42" s="260">
        <f t="shared" si="8"/>
        <v>0</v>
      </c>
      <c r="AG42" s="260">
        <f t="shared" si="9"/>
        <v>0</v>
      </c>
    </row>
    <row r="43" spans="1:592" s="13" customFormat="1" ht="63" x14ac:dyDescent="0.2">
      <c r="A43" s="10" t="s">
        <v>326</v>
      </c>
      <c r="B43" s="11">
        <v>65100654</v>
      </c>
      <c r="C43" s="11" t="s">
        <v>324</v>
      </c>
      <c r="D43" s="11">
        <v>7665554</v>
      </c>
      <c r="E43" s="225" t="s">
        <v>283</v>
      </c>
      <c r="F43" s="192" t="s">
        <v>278</v>
      </c>
      <c r="G43" s="201">
        <f>IFERROR(VLOOKUP(D43,List1!$A$5:$B$227,2,FALSE),"0")</f>
        <v>1110000</v>
      </c>
      <c r="H43" s="41" t="str">
        <f>IFERROR(VLOOKUP(D43,List1!$D$5:$E$41,2,FALSE),"0")</f>
        <v>0</v>
      </c>
      <c r="I43" s="41">
        <f>IFERROR(VLOOKUP(D43,List1!$G$5:$H$227,2,FALSE),"0")</f>
        <v>106000</v>
      </c>
      <c r="J43" s="40">
        <f t="shared" si="2"/>
        <v>1216000</v>
      </c>
      <c r="K43" s="41" t="str">
        <f>IFERROR(VLOOKUP(D43,List1!$J$5:$K$227,2,FALSE),"0")</f>
        <v>0</v>
      </c>
      <c r="L43" s="41">
        <f>IFERROR(VLOOKUP(D43,List1!$M$5:$N$112,2,FALSE),"0")</f>
        <v>34000</v>
      </c>
      <c r="M43" s="43">
        <v>0</v>
      </c>
      <c r="N43" s="80">
        <f>VLOOKUP($D$5:$D$251,List2!$A$2:$B$241,2,FALSE)</f>
        <v>0</v>
      </c>
      <c r="O43" s="80">
        <f>IFERROR(VLOOKUP($D$5:$D$260,List1!$Y$5:$Z$244,2,FALSE),0)</f>
        <v>0</v>
      </c>
      <c r="P43" s="202">
        <f>IFERROR(VLOOKUP($D$5:$D$260,List1!$AB$5:$AC$244,2,FALSE),0)</f>
        <v>0</v>
      </c>
      <c r="Q43" s="201">
        <f>IFERROR(VLOOKUP($D$5:$D$260,List1!$S$5:$T$231,2,FALSE),0)</f>
        <v>1152114</v>
      </c>
      <c r="R43" s="41">
        <v>0</v>
      </c>
      <c r="S43" s="41">
        <f>IFERROR(VLOOKUP($D$5:$D$260,List1!$AE$5:$AF$231,2,FALSE),0)</f>
        <v>347886</v>
      </c>
      <c r="T43" s="41">
        <f t="shared" si="3"/>
        <v>1500000</v>
      </c>
      <c r="U43" s="41" t="str">
        <f>IFERROR(VLOOKUP(D43,List1!$P$5:$Q$110,2,FALSE),"0")</f>
        <v>0</v>
      </c>
      <c r="V43" s="41">
        <v>0</v>
      </c>
      <c r="W43" s="248">
        <v>0</v>
      </c>
      <c r="X43" s="211">
        <f t="shared" si="4"/>
        <v>1500000</v>
      </c>
      <c r="Y43" s="219"/>
      <c r="Z43" s="80">
        <f>IFERROR(VLOOKUP($D$5:$D$260,#REF!,3,FALSE),0)</f>
        <v>0</v>
      </c>
      <c r="AA43" s="80">
        <f>IFERROR(VLOOKUP($D$5:$D$260,#REF!,3,FALSE),0)</f>
        <v>0</v>
      </c>
      <c r="AB43" s="243">
        <v>0</v>
      </c>
      <c r="AC43" s="202">
        <f t="shared" si="5"/>
        <v>0</v>
      </c>
      <c r="AD43" s="259">
        <f t="shared" si="6"/>
        <v>0</v>
      </c>
      <c r="AE43" s="260">
        <f t="shared" si="7"/>
        <v>0</v>
      </c>
      <c r="AF43" s="260">
        <f t="shared" si="8"/>
        <v>0</v>
      </c>
      <c r="AG43" s="260">
        <f t="shared" si="9"/>
        <v>0</v>
      </c>
    </row>
    <row r="44" spans="1:592" s="13" customFormat="1" ht="63" x14ac:dyDescent="0.2">
      <c r="A44" s="10" t="s">
        <v>326</v>
      </c>
      <c r="B44" s="11">
        <v>65100654</v>
      </c>
      <c r="C44" s="11" t="s">
        <v>324</v>
      </c>
      <c r="D44" s="11">
        <v>2480451</v>
      </c>
      <c r="E44" s="225" t="s">
        <v>285</v>
      </c>
      <c r="F44" s="192" t="s">
        <v>278</v>
      </c>
      <c r="G44" s="201">
        <f>IFERROR(VLOOKUP(D44,List1!$A$5:$B$227,2,FALSE),"0")</f>
        <v>980000</v>
      </c>
      <c r="H44" s="41" t="str">
        <f>IFERROR(VLOOKUP(D44,List1!$D$5:$E$41,2,FALSE),"0")</f>
        <v>0</v>
      </c>
      <c r="I44" s="41">
        <f>IFERROR(VLOOKUP(D44,List1!$G$5:$H$227,2,FALSE),"0")</f>
        <v>81330</v>
      </c>
      <c r="J44" s="40">
        <f t="shared" si="2"/>
        <v>1061330</v>
      </c>
      <c r="K44" s="41" t="str">
        <f>IFERROR(VLOOKUP(D44,List1!$J$5:$K$227,2,FALSE),"0")</f>
        <v>0</v>
      </c>
      <c r="L44" s="41" t="str">
        <f>IFERROR(VLOOKUP(D44,List1!$M$5:$N$112,2,FALSE),"0")</f>
        <v>0</v>
      </c>
      <c r="M44" s="43">
        <v>0</v>
      </c>
      <c r="N44" s="80">
        <f>VLOOKUP($D$5:$D$251,List2!$A$2:$B$241,2,FALSE)</f>
        <v>0</v>
      </c>
      <c r="O44" s="80">
        <f>IFERROR(VLOOKUP($D$5:$D$260,List1!$Y$5:$Z$244,2,FALSE),0)</f>
        <v>0</v>
      </c>
      <c r="P44" s="202">
        <f>IFERROR(VLOOKUP($D$5:$D$260,List1!$AB$5:$AC$244,2,FALSE),0)</f>
        <v>0</v>
      </c>
      <c r="Q44" s="201">
        <f>IFERROR(VLOOKUP($D$5:$D$260,List1!$S$5:$T$231,2,FALSE),0)</f>
        <v>1152114</v>
      </c>
      <c r="R44" s="41">
        <v>0</v>
      </c>
      <c r="S44" s="41">
        <f>IFERROR(VLOOKUP($D$5:$D$260,List1!$AE$5:$AF$231,2,FALSE),0)</f>
        <v>347886</v>
      </c>
      <c r="T44" s="41">
        <f t="shared" si="3"/>
        <v>1500000</v>
      </c>
      <c r="U44" s="41" t="str">
        <f>IFERROR(VLOOKUP(D44,List1!$P$5:$Q$110,2,FALSE),"0")</f>
        <v>0</v>
      </c>
      <c r="V44" s="41">
        <v>0</v>
      </c>
      <c r="W44" s="248">
        <v>0</v>
      </c>
      <c r="X44" s="211">
        <f t="shared" si="4"/>
        <v>1500000</v>
      </c>
      <c r="Y44" s="219"/>
      <c r="Z44" s="80">
        <f>IFERROR(VLOOKUP($D$5:$D$260,#REF!,3,FALSE),0)</f>
        <v>0</v>
      </c>
      <c r="AA44" s="80">
        <f>IFERROR(VLOOKUP($D$5:$D$260,#REF!,3,FALSE),0)</f>
        <v>0</v>
      </c>
      <c r="AB44" s="243">
        <v>0</v>
      </c>
      <c r="AC44" s="202">
        <f t="shared" si="5"/>
        <v>0</v>
      </c>
      <c r="AD44" s="259">
        <f t="shared" si="6"/>
        <v>0</v>
      </c>
      <c r="AE44" s="260">
        <f t="shared" si="7"/>
        <v>0</v>
      </c>
      <c r="AF44" s="260">
        <f t="shared" si="8"/>
        <v>0</v>
      </c>
      <c r="AG44" s="260">
        <f t="shared" si="9"/>
        <v>0</v>
      </c>
    </row>
    <row r="45" spans="1:592" s="13" customFormat="1" ht="21" x14ac:dyDescent="0.2">
      <c r="A45" s="10" t="s">
        <v>327</v>
      </c>
      <c r="B45" s="11">
        <v>26571129</v>
      </c>
      <c r="C45" s="11" t="s">
        <v>288</v>
      </c>
      <c r="D45" s="11">
        <v>6769479</v>
      </c>
      <c r="E45" s="228" t="s">
        <v>314</v>
      </c>
      <c r="F45" s="192" t="s">
        <v>294</v>
      </c>
      <c r="G45" s="201">
        <f>IFERROR(VLOOKUP(D45,List1!$A$5:$B$227,2,FALSE),"0")</f>
        <v>1400000</v>
      </c>
      <c r="H45" s="41" t="str">
        <f>IFERROR(VLOOKUP(D45,List1!$D$5:$E$41,2,FALSE),"0")</f>
        <v>0</v>
      </c>
      <c r="I45" s="41" t="str">
        <f>IFERROR(VLOOKUP(D45,List1!$G$5:$H$227,2,FALSE),"0")</f>
        <v>0</v>
      </c>
      <c r="J45" s="40">
        <f t="shared" si="2"/>
        <v>1400000</v>
      </c>
      <c r="K45" s="41" t="str">
        <f>IFERROR(VLOOKUP(D45,List1!$J$5:$K$227,2,FALSE),"0")</f>
        <v>0</v>
      </c>
      <c r="L45" s="41">
        <f>IFERROR(VLOOKUP(D45,List1!$M$5:$N$112,2,FALSE),"0")</f>
        <v>36000</v>
      </c>
      <c r="M45" s="43">
        <v>0</v>
      </c>
      <c r="N45" s="80">
        <f>VLOOKUP($D$5:$D$251,List2!$A$2:$B$241,2,FALSE)</f>
        <v>232000</v>
      </c>
      <c r="O45" s="80">
        <f>IFERROR(VLOOKUP($D$5:$D$260,List1!$Y$5:$Z$244,2,FALSE),0)</f>
        <v>0</v>
      </c>
      <c r="P45" s="202">
        <f>IFERROR(VLOOKUP($D$5:$D$260,List1!$AB$5:$AC$244,2,FALSE),0)</f>
        <v>0</v>
      </c>
      <c r="Q45" s="201">
        <f>IFERROR(VLOOKUP($D$5:$D$260,List1!$S$5:$T$231,2,FALSE),0)</f>
        <v>1151890</v>
      </c>
      <c r="R45" s="41">
        <v>0</v>
      </c>
      <c r="S45" s="41">
        <f>IFERROR(VLOOKUP($D$5:$D$260,List1!$AE$5:$AF$231,2,FALSE),0)</f>
        <v>300000</v>
      </c>
      <c r="T45" s="41">
        <f t="shared" si="3"/>
        <v>1451890</v>
      </c>
      <c r="U45" s="41" t="str">
        <f>IFERROR(VLOOKUP(D45,List1!$P$5:$Q$110,2,FALSE),"0")</f>
        <v>0</v>
      </c>
      <c r="V45" s="41">
        <v>0</v>
      </c>
      <c r="W45" s="248">
        <v>0</v>
      </c>
      <c r="X45" s="211">
        <f t="shared" si="4"/>
        <v>1451890</v>
      </c>
      <c r="Y45" s="219"/>
      <c r="Z45" s="80">
        <f>IFERROR(VLOOKUP($D$5:$D$260,#REF!,3,FALSE),0)</f>
        <v>0</v>
      </c>
      <c r="AA45" s="80">
        <f>IFERROR(VLOOKUP($D$5:$D$260,#REF!,3,FALSE),0)</f>
        <v>0</v>
      </c>
      <c r="AB45" s="243">
        <v>0</v>
      </c>
      <c r="AC45" s="202">
        <f t="shared" si="5"/>
        <v>0</v>
      </c>
      <c r="AD45" s="259">
        <f t="shared" si="6"/>
        <v>0</v>
      </c>
      <c r="AE45" s="260">
        <f t="shared" si="7"/>
        <v>0</v>
      </c>
      <c r="AF45" s="260">
        <f t="shared" si="8"/>
        <v>0</v>
      </c>
      <c r="AG45" s="260">
        <f t="shared" si="9"/>
        <v>0</v>
      </c>
    </row>
    <row r="46" spans="1:592" s="20" customFormat="1" ht="21" x14ac:dyDescent="0.2">
      <c r="A46" s="10" t="s">
        <v>328</v>
      </c>
      <c r="B46" s="15" t="s">
        <v>329</v>
      </c>
      <c r="C46" s="11" t="s">
        <v>267</v>
      </c>
      <c r="D46" s="11">
        <v>4358523</v>
      </c>
      <c r="E46" s="228" t="s">
        <v>322</v>
      </c>
      <c r="F46" s="192" t="s">
        <v>294</v>
      </c>
      <c r="G46" s="201">
        <f>IFERROR(VLOOKUP(D46,List1!$A$5:$B$227,2,FALSE),"0")</f>
        <v>498000</v>
      </c>
      <c r="H46" s="41" t="str">
        <f>IFERROR(VLOOKUP(D46,List1!$D$5:$E$41,2,FALSE),"0")</f>
        <v>0</v>
      </c>
      <c r="I46" s="41" t="str">
        <f>IFERROR(VLOOKUP(D46,List1!$G$5:$H$227,2,FALSE),"0")</f>
        <v>0</v>
      </c>
      <c r="J46" s="40">
        <f t="shared" si="2"/>
        <v>498000</v>
      </c>
      <c r="K46" s="41">
        <f>IFERROR(VLOOKUP(D46,List1!$J$5:$K$227,2,FALSE),"0")</f>
        <v>20000</v>
      </c>
      <c r="L46" s="41" t="str">
        <f>IFERROR(VLOOKUP(D46,List1!$M$5:$N$112,2,FALSE),"0")</f>
        <v>0</v>
      </c>
      <c r="M46" s="43">
        <v>0</v>
      </c>
      <c r="N46" s="80">
        <f>VLOOKUP($D$5:$D$251,List2!$A$2:$B$241,2,FALSE)</f>
        <v>62992</v>
      </c>
      <c r="O46" s="80">
        <f>IFERROR(VLOOKUP($D$5:$D$260,List1!$Y$5:$Z$244,2,FALSE),0)</f>
        <v>0</v>
      </c>
      <c r="P46" s="202">
        <f>IFERROR(VLOOKUP($D$5:$D$260,List1!$AB$5:$AC$244,2,FALSE),0)</f>
        <v>0</v>
      </c>
      <c r="Q46" s="201">
        <f>IFERROR(VLOOKUP($D$5:$D$260,List1!$S$5:$T$231,2,FALSE),0)</f>
        <v>466376</v>
      </c>
      <c r="R46" s="41">
        <v>0</v>
      </c>
      <c r="S46" s="41">
        <f>IFERROR(VLOOKUP($D$5:$D$260,List1!$AE$5:$AF$231,2,FALSE),0)</f>
        <v>100000</v>
      </c>
      <c r="T46" s="41">
        <f t="shared" si="3"/>
        <v>566376</v>
      </c>
      <c r="U46" s="41">
        <f>IFERROR(VLOOKUP(D46,List1!$P$5:$Q$110,2,FALSE),"0")</f>
        <v>55000</v>
      </c>
      <c r="V46" s="41">
        <v>0</v>
      </c>
      <c r="W46" s="248">
        <v>0</v>
      </c>
      <c r="X46" s="211">
        <f t="shared" si="4"/>
        <v>621376</v>
      </c>
      <c r="Y46" s="219"/>
      <c r="Z46" s="80">
        <f>IFERROR(VLOOKUP($D$5:$D$260,#REF!,3,FALSE),0)</f>
        <v>0</v>
      </c>
      <c r="AA46" s="80">
        <f>IFERROR(VLOOKUP($D$5:$D$260,#REF!,3,FALSE),0)</f>
        <v>0</v>
      </c>
      <c r="AB46" s="243">
        <v>0</v>
      </c>
      <c r="AC46" s="202">
        <f t="shared" si="5"/>
        <v>0</v>
      </c>
      <c r="AD46" s="259">
        <f t="shared" si="6"/>
        <v>-55000</v>
      </c>
      <c r="AE46" s="260">
        <f t="shared" si="7"/>
        <v>-1</v>
      </c>
      <c r="AF46" s="260">
        <f t="shared" si="8"/>
        <v>-1</v>
      </c>
      <c r="AG46" s="260">
        <f t="shared" si="9"/>
        <v>-1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</row>
    <row r="47" spans="1:592" s="13" customFormat="1" ht="31.5" x14ac:dyDescent="0.2">
      <c r="A47" s="10" t="s">
        <v>328</v>
      </c>
      <c r="B47" s="15" t="s">
        <v>329</v>
      </c>
      <c r="C47" s="11" t="s">
        <v>267</v>
      </c>
      <c r="D47" s="11">
        <v>4756138</v>
      </c>
      <c r="E47" s="228" t="s">
        <v>308</v>
      </c>
      <c r="F47" s="192" t="s">
        <v>300</v>
      </c>
      <c r="G47" s="201">
        <f>IFERROR(VLOOKUP(D47,List1!$A$5:$B$227,2,FALSE),"0")</f>
        <v>723000</v>
      </c>
      <c r="H47" s="41" t="str">
        <f>IFERROR(VLOOKUP(D47,List1!$D$5:$E$41,2,FALSE),"0")</f>
        <v>0</v>
      </c>
      <c r="I47" s="41">
        <f>IFERROR(VLOOKUP(D47,List1!$G$5:$H$227,2,FALSE),"0")</f>
        <v>187543</v>
      </c>
      <c r="J47" s="40">
        <f t="shared" si="2"/>
        <v>910543</v>
      </c>
      <c r="K47" s="41">
        <f>IFERROR(VLOOKUP(D47,List1!$J$5:$K$227,2,FALSE),"0")</f>
        <v>34000</v>
      </c>
      <c r="L47" s="41" t="str">
        <f>IFERROR(VLOOKUP(D47,List1!$M$5:$N$112,2,FALSE),"0")</f>
        <v>0</v>
      </c>
      <c r="M47" s="43">
        <v>0</v>
      </c>
      <c r="N47" s="80">
        <f>VLOOKUP($D$5:$D$251,List2!$A$2:$B$241,2,FALSE)</f>
        <v>68350</v>
      </c>
      <c r="O47" s="80">
        <f>IFERROR(VLOOKUP($D$5:$D$260,List1!$Y$5:$Z$244,2,FALSE),0)</f>
        <v>0</v>
      </c>
      <c r="P47" s="202">
        <f>IFERROR(VLOOKUP($D$5:$D$260,List1!$AB$5:$AC$244,2,FALSE),0)</f>
        <v>0</v>
      </c>
      <c r="Q47" s="201">
        <f>IFERROR(VLOOKUP($D$5:$D$260,List1!$S$5:$T$231,2,FALSE),0)</f>
        <v>721076</v>
      </c>
      <c r="R47" s="41">
        <v>0</v>
      </c>
      <c r="S47" s="41">
        <f>IFERROR(VLOOKUP($D$5:$D$260,List1!$AE$5:$AF$231,2,FALSE),0)</f>
        <v>200000</v>
      </c>
      <c r="T47" s="41">
        <f t="shared" si="3"/>
        <v>921076</v>
      </c>
      <c r="U47" s="41">
        <f>IFERROR(VLOOKUP(D47,List1!$P$5:$Q$110,2,FALSE),"0")</f>
        <v>91000</v>
      </c>
      <c r="V47" s="41">
        <v>0</v>
      </c>
      <c r="W47" s="248">
        <v>0</v>
      </c>
      <c r="X47" s="211">
        <f t="shared" si="4"/>
        <v>1012076</v>
      </c>
      <c r="Y47" s="219"/>
      <c r="Z47" s="80">
        <f>IFERROR(VLOOKUP($D$5:$D$260,#REF!,3,FALSE),0)</f>
        <v>0</v>
      </c>
      <c r="AA47" s="80">
        <f>IFERROR(VLOOKUP($D$5:$D$260,#REF!,3,FALSE),0)</f>
        <v>0</v>
      </c>
      <c r="AB47" s="243">
        <v>0</v>
      </c>
      <c r="AC47" s="202">
        <f t="shared" si="5"/>
        <v>0</v>
      </c>
      <c r="AD47" s="259">
        <f t="shared" si="6"/>
        <v>-91000</v>
      </c>
      <c r="AE47" s="260">
        <f t="shared" si="7"/>
        <v>-1</v>
      </c>
      <c r="AF47" s="260">
        <f t="shared" si="8"/>
        <v>-1</v>
      </c>
      <c r="AG47" s="260">
        <f t="shared" si="9"/>
        <v>-1</v>
      </c>
    </row>
    <row r="48" spans="1:592" s="22" customFormat="1" ht="31.5" x14ac:dyDescent="0.2">
      <c r="A48" s="10" t="s">
        <v>192</v>
      </c>
      <c r="B48" s="11">
        <v>25755277</v>
      </c>
      <c r="C48" s="11" t="s">
        <v>318</v>
      </c>
      <c r="D48" s="11">
        <v>6719009</v>
      </c>
      <c r="E48" s="12" t="s">
        <v>268</v>
      </c>
      <c r="F48" s="192" t="s">
        <v>269</v>
      </c>
      <c r="G48" s="201">
        <f>IFERROR(VLOOKUP(D48,List1!$A$5:$B$227,2,FALSE),"0")</f>
        <v>1271000</v>
      </c>
      <c r="H48" s="41" t="str">
        <f>IFERROR(VLOOKUP(D48,List1!$D$5:$E$41,2,FALSE),"0")</f>
        <v>0</v>
      </c>
      <c r="I48" s="41">
        <f>IFERROR(VLOOKUP(D48,List1!$G$5:$H$227,2,FALSE),"0")</f>
        <v>362851</v>
      </c>
      <c r="J48" s="40">
        <f t="shared" si="2"/>
        <v>1633851</v>
      </c>
      <c r="K48" s="41">
        <f>IFERROR(VLOOKUP(D48,List1!$J$5:$K$227,2,FALSE),"0")</f>
        <v>64000</v>
      </c>
      <c r="L48" s="41">
        <f>IFERROR(VLOOKUP(D48,List1!$M$5:$N$112,2,FALSE),"0")</f>
        <v>27000</v>
      </c>
      <c r="M48" s="43">
        <v>0</v>
      </c>
      <c r="N48" s="80">
        <f>VLOOKUP($D$5:$D$251,List2!$A$2:$B$241,2,FALSE)</f>
        <v>111344</v>
      </c>
      <c r="O48" s="80">
        <f>IFERROR(VLOOKUP($D$5:$D$260,List1!$Y$5:$Z$244,2,FALSE),0)</f>
        <v>0</v>
      </c>
      <c r="P48" s="202">
        <f>IFERROR(VLOOKUP($D$5:$D$260,List1!$AB$5:$AC$244,2,FALSE),0)</f>
        <v>0</v>
      </c>
      <c r="Q48" s="201">
        <f>IFERROR(VLOOKUP($D$5:$D$260,List1!$S$5:$T$231,2,FALSE),0)</f>
        <v>2488567</v>
      </c>
      <c r="R48" s="41">
        <v>0</v>
      </c>
      <c r="S48" s="41">
        <f>IFERROR(VLOOKUP($D$5:$D$260,List1!$AE$5:$AF$231,2,FALSE),0)</f>
        <v>750000</v>
      </c>
      <c r="T48" s="41">
        <f t="shared" si="3"/>
        <v>3238567</v>
      </c>
      <c r="U48" s="41">
        <f>IFERROR(VLOOKUP(D48,List1!$P$5:$Q$110,2,FALSE),"0")</f>
        <v>348000</v>
      </c>
      <c r="V48" s="41">
        <v>0</v>
      </c>
      <c r="W48" s="248">
        <v>0</v>
      </c>
      <c r="X48" s="211">
        <f t="shared" si="4"/>
        <v>3586567</v>
      </c>
      <c r="Y48" s="219"/>
      <c r="Z48" s="80">
        <f>IFERROR(VLOOKUP($D$5:$D$260,#REF!,3,FALSE),0)</f>
        <v>0</v>
      </c>
      <c r="AA48" s="80">
        <f>IFERROR(VLOOKUP($D$5:$D$260,#REF!,3,FALSE),0)</f>
        <v>0</v>
      </c>
      <c r="AB48" s="243">
        <v>0</v>
      </c>
      <c r="AC48" s="202">
        <f t="shared" si="5"/>
        <v>0</v>
      </c>
      <c r="AD48" s="259">
        <f t="shared" si="6"/>
        <v>-348000</v>
      </c>
      <c r="AE48" s="260">
        <f t="shared" si="7"/>
        <v>-1</v>
      </c>
      <c r="AF48" s="260">
        <f t="shared" si="8"/>
        <v>-1</v>
      </c>
      <c r="AG48" s="260">
        <f t="shared" si="9"/>
        <v>-1</v>
      </c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</row>
    <row r="49" spans="1:592" s="13" customFormat="1" ht="31.5" x14ac:dyDescent="0.2">
      <c r="A49" s="10" t="s">
        <v>192</v>
      </c>
      <c r="B49" s="11">
        <v>25755277</v>
      </c>
      <c r="C49" s="11" t="s">
        <v>318</v>
      </c>
      <c r="D49" s="11">
        <v>5235056</v>
      </c>
      <c r="E49" s="228" t="s">
        <v>330</v>
      </c>
      <c r="F49" s="192" t="s">
        <v>269</v>
      </c>
      <c r="G49" s="201">
        <f>IFERROR(VLOOKUP(D49,List1!$A$5:$B$227,2,FALSE),"0")</f>
        <v>1289000</v>
      </c>
      <c r="H49" s="41" t="str">
        <f>IFERROR(VLOOKUP(D49,List1!$D$5:$E$41,2,FALSE),"0")</f>
        <v>0</v>
      </c>
      <c r="I49" s="41">
        <f>IFERROR(VLOOKUP(D49,List1!$G$5:$H$227,2,FALSE),"0")</f>
        <v>246346</v>
      </c>
      <c r="J49" s="40">
        <f t="shared" si="2"/>
        <v>1535346</v>
      </c>
      <c r="K49" s="41">
        <f>IFERROR(VLOOKUP(D49,List1!$J$5:$K$227,2,FALSE),"0")</f>
        <v>53000</v>
      </c>
      <c r="L49" s="41">
        <f>IFERROR(VLOOKUP(D49,List1!$M$5:$N$112,2,FALSE),"0")</f>
        <v>27000</v>
      </c>
      <c r="M49" s="43">
        <v>0</v>
      </c>
      <c r="N49" s="80">
        <f>VLOOKUP($D$5:$D$251,List2!$A$2:$B$241,2,FALSE)</f>
        <v>104702</v>
      </c>
      <c r="O49" s="80">
        <f>IFERROR(VLOOKUP($D$5:$D$260,List1!$Y$5:$Z$244,2,FALSE),0)</f>
        <v>0</v>
      </c>
      <c r="P49" s="202">
        <f>IFERROR(VLOOKUP($D$5:$D$260,List1!$AB$5:$AC$244,2,FALSE),0)</f>
        <v>0</v>
      </c>
      <c r="Q49" s="201">
        <f>IFERROR(VLOOKUP($D$5:$D$260,List1!$S$5:$T$231,2,FALSE),0)</f>
        <v>1244283</v>
      </c>
      <c r="R49" s="41">
        <v>0</v>
      </c>
      <c r="S49" s="41">
        <f>IFERROR(VLOOKUP($D$5:$D$260,List1!$AE$5:$AF$231,2,FALSE),0)</f>
        <v>350000</v>
      </c>
      <c r="T49" s="41">
        <f t="shared" si="3"/>
        <v>1594283</v>
      </c>
      <c r="U49" s="41">
        <f>IFERROR(VLOOKUP(D49,List1!$P$5:$Q$110,2,FALSE),"0")</f>
        <v>174000</v>
      </c>
      <c r="V49" s="41">
        <v>0</v>
      </c>
      <c r="W49" s="248">
        <v>0</v>
      </c>
      <c r="X49" s="211">
        <f t="shared" si="4"/>
        <v>1768283</v>
      </c>
      <c r="Y49" s="219"/>
      <c r="Z49" s="80">
        <f>IFERROR(VLOOKUP($D$5:$D$260,#REF!,3,FALSE),0)</f>
        <v>0</v>
      </c>
      <c r="AA49" s="80">
        <f>IFERROR(VLOOKUP($D$5:$D$260,#REF!,3,FALSE),0)</f>
        <v>0</v>
      </c>
      <c r="AB49" s="243">
        <v>0</v>
      </c>
      <c r="AC49" s="202">
        <f t="shared" si="5"/>
        <v>0</v>
      </c>
      <c r="AD49" s="259">
        <f t="shared" si="6"/>
        <v>-174000</v>
      </c>
      <c r="AE49" s="260">
        <f t="shared" si="7"/>
        <v>-1</v>
      </c>
      <c r="AF49" s="260">
        <f t="shared" si="8"/>
        <v>-1</v>
      </c>
      <c r="AG49" s="260">
        <f t="shared" si="9"/>
        <v>-1</v>
      </c>
    </row>
    <row r="50" spans="1:592" s="13" customFormat="1" ht="31.5" x14ac:dyDescent="0.2">
      <c r="A50" s="10" t="s">
        <v>192</v>
      </c>
      <c r="B50" s="11">
        <v>25755277</v>
      </c>
      <c r="C50" s="11" t="s">
        <v>318</v>
      </c>
      <c r="D50" s="11">
        <v>5713240</v>
      </c>
      <c r="E50" s="228" t="s">
        <v>331</v>
      </c>
      <c r="F50" s="192" t="s">
        <v>294</v>
      </c>
      <c r="G50" s="201">
        <f>IFERROR(VLOOKUP(D50,List1!$A$5:$B$227,2,FALSE),"0")</f>
        <v>2748000</v>
      </c>
      <c r="H50" s="41" t="str">
        <f>IFERROR(VLOOKUP(D50,List1!$D$5:$E$41,2,FALSE),"0")</f>
        <v>0</v>
      </c>
      <c r="I50" s="41">
        <f>IFERROR(VLOOKUP(D50,List1!$G$5:$H$227,2,FALSE),"0")</f>
        <v>576839</v>
      </c>
      <c r="J50" s="40">
        <f t="shared" si="2"/>
        <v>3324839</v>
      </c>
      <c r="K50" s="41">
        <f>IFERROR(VLOOKUP(D50,List1!$J$5:$K$227,2,FALSE),"0")</f>
        <v>130000</v>
      </c>
      <c r="L50" s="41">
        <f>IFERROR(VLOOKUP(D50,List1!$M$5:$N$112,2,FALSE),"0")</f>
        <v>54000</v>
      </c>
      <c r="M50" s="43">
        <v>0</v>
      </c>
      <c r="N50" s="80">
        <f>VLOOKUP($D$5:$D$251,List2!$A$2:$B$241,2,FALSE)</f>
        <v>187818</v>
      </c>
      <c r="O50" s="80">
        <f>IFERROR(VLOOKUP($D$5:$D$260,List1!$Y$5:$Z$244,2,FALSE),0)</f>
        <v>0</v>
      </c>
      <c r="P50" s="202">
        <f>IFERROR(VLOOKUP($D$5:$D$260,List1!$AB$5:$AC$244,2,FALSE),0)</f>
        <v>0</v>
      </c>
      <c r="Q50" s="201">
        <f>IFERROR(VLOOKUP($D$5:$D$260,List1!$S$5:$T$231,2,FALSE),0)</f>
        <v>2820375</v>
      </c>
      <c r="R50" s="41">
        <v>0</v>
      </c>
      <c r="S50" s="41">
        <f>IFERROR(VLOOKUP($D$5:$D$260,List1!$AE$5:$AF$231,2,FALSE),0)</f>
        <v>850000</v>
      </c>
      <c r="T50" s="41">
        <f t="shared" si="3"/>
        <v>3670375</v>
      </c>
      <c r="U50" s="41">
        <f>IFERROR(VLOOKUP(D50,List1!$P$5:$Q$110,2,FALSE),"0")</f>
        <v>348000</v>
      </c>
      <c r="V50" s="41">
        <v>0</v>
      </c>
      <c r="W50" s="248">
        <v>0</v>
      </c>
      <c r="X50" s="211">
        <f t="shared" si="4"/>
        <v>4018375</v>
      </c>
      <c r="Y50" s="219"/>
      <c r="Z50" s="80">
        <f>IFERROR(VLOOKUP($D$5:$D$260,#REF!,3,FALSE),0)</f>
        <v>0</v>
      </c>
      <c r="AA50" s="80">
        <f>IFERROR(VLOOKUP($D$5:$D$260,#REF!,3,FALSE),0)</f>
        <v>0</v>
      </c>
      <c r="AB50" s="243">
        <v>0</v>
      </c>
      <c r="AC50" s="202">
        <f t="shared" si="5"/>
        <v>0</v>
      </c>
      <c r="AD50" s="259">
        <f t="shared" si="6"/>
        <v>-348000</v>
      </c>
      <c r="AE50" s="260">
        <f t="shared" si="7"/>
        <v>-1</v>
      </c>
      <c r="AF50" s="260">
        <f t="shared" si="8"/>
        <v>-1</v>
      </c>
      <c r="AG50" s="260">
        <f t="shared" si="9"/>
        <v>-1</v>
      </c>
    </row>
    <row r="51" spans="1:592" s="13" customFormat="1" ht="21" x14ac:dyDescent="0.2">
      <c r="A51" s="10" t="s">
        <v>68</v>
      </c>
      <c r="B51" s="11">
        <v>68455232</v>
      </c>
      <c r="C51" s="11" t="s">
        <v>288</v>
      </c>
      <c r="D51" s="11">
        <v>9813481</v>
      </c>
      <c r="E51" s="12" t="s">
        <v>268</v>
      </c>
      <c r="F51" s="192" t="s">
        <v>269</v>
      </c>
      <c r="G51" s="201">
        <f>IFERROR(VLOOKUP(D51,List1!$A$5:$B$227,2,FALSE),"0")</f>
        <v>2156000</v>
      </c>
      <c r="H51" s="41" t="str">
        <f>IFERROR(VLOOKUP(D51,List1!$D$5:$E$41,2,FALSE),"0")</f>
        <v>0</v>
      </c>
      <c r="I51" s="41">
        <f>IFERROR(VLOOKUP(D51,List1!$G$5:$H$227,2,FALSE),"0")</f>
        <v>686618</v>
      </c>
      <c r="J51" s="40">
        <f t="shared" si="2"/>
        <v>2842618</v>
      </c>
      <c r="K51" s="41">
        <f>IFERROR(VLOOKUP(D51,List1!$J$5:$K$227,2,FALSE),"0")</f>
        <v>123000</v>
      </c>
      <c r="L51" s="41">
        <f>IFERROR(VLOOKUP(D51,List1!$M$5:$N$112,2,FALSE),"0")</f>
        <v>51000</v>
      </c>
      <c r="M51" s="43">
        <v>0</v>
      </c>
      <c r="N51" s="80">
        <f>VLOOKUP($D$5:$D$251,List2!$A$2:$B$241,2,FALSE)</f>
        <v>501948</v>
      </c>
      <c r="O51" s="80">
        <f>IFERROR(VLOOKUP($D$5:$D$260,List1!$Y$5:$Z$244,2,FALSE),0)</f>
        <v>0</v>
      </c>
      <c r="P51" s="202">
        <f>IFERROR(VLOOKUP($D$5:$D$260,List1!$AB$5:$AC$244,2,FALSE),0)</f>
        <v>0</v>
      </c>
      <c r="Q51" s="201">
        <f>IFERROR(VLOOKUP($D$5:$D$260,List1!$S$5:$T$231,2,FALSE),0)</f>
        <v>2169201</v>
      </c>
      <c r="R51" s="41">
        <v>0</v>
      </c>
      <c r="S51" s="41">
        <f>IFERROR(VLOOKUP($D$5:$D$260,List1!$AE$5:$AF$231,2,FALSE),0)</f>
        <v>650000</v>
      </c>
      <c r="T51" s="41">
        <f t="shared" si="3"/>
        <v>2819201</v>
      </c>
      <c r="U51" s="41">
        <f>IFERROR(VLOOKUP(D51,List1!$P$5:$Q$110,2,FALSE),"0")</f>
        <v>303000</v>
      </c>
      <c r="V51" s="41">
        <v>0</v>
      </c>
      <c r="W51" s="248">
        <v>0</v>
      </c>
      <c r="X51" s="211">
        <f t="shared" si="4"/>
        <v>3122201</v>
      </c>
      <c r="Y51" s="219"/>
      <c r="Z51" s="80">
        <f>IFERROR(VLOOKUP($D$5:$D$260,#REF!,3,FALSE),0)</f>
        <v>0</v>
      </c>
      <c r="AA51" s="80">
        <f>IFERROR(VLOOKUP($D$5:$D$260,#REF!,3,FALSE),0)</f>
        <v>0</v>
      </c>
      <c r="AB51" s="243">
        <v>0</v>
      </c>
      <c r="AC51" s="202">
        <f t="shared" si="5"/>
        <v>0</v>
      </c>
      <c r="AD51" s="259">
        <f t="shared" si="6"/>
        <v>-303000</v>
      </c>
      <c r="AE51" s="260">
        <f t="shared" si="7"/>
        <v>-1</v>
      </c>
      <c r="AF51" s="260">
        <f t="shared" si="8"/>
        <v>-1</v>
      </c>
      <c r="AG51" s="260">
        <f t="shared" si="9"/>
        <v>-1</v>
      </c>
    </row>
    <row r="52" spans="1:592" s="13" customFormat="1" ht="21" x14ac:dyDescent="0.2">
      <c r="A52" s="10" t="s">
        <v>332</v>
      </c>
      <c r="B52" s="11">
        <v>48282961</v>
      </c>
      <c r="C52" s="11" t="s">
        <v>296</v>
      </c>
      <c r="D52" s="11">
        <v>2293541</v>
      </c>
      <c r="E52" s="225" t="s">
        <v>289</v>
      </c>
      <c r="F52" s="192" t="s">
        <v>269</v>
      </c>
      <c r="G52" s="201">
        <f>IFERROR(VLOOKUP(D52,List1!$A$5:$B$227,2,FALSE),"0")</f>
        <v>6458000</v>
      </c>
      <c r="H52" s="41">
        <f>IFERROR(VLOOKUP(D52,List1!$D$5:$E$41,2,FALSE),"0")</f>
        <v>162822</v>
      </c>
      <c r="I52" s="41">
        <f>IFERROR(VLOOKUP(D52,List1!$G$5:$H$227,2,FALSE),"0")</f>
        <v>381000</v>
      </c>
      <c r="J52" s="40">
        <f t="shared" si="2"/>
        <v>7001822</v>
      </c>
      <c r="K52" s="41" t="str">
        <f>IFERROR(VLOOKUP(D52,List1!$J$5:$K$227,2,FALSE),"0")</f>
        <v>0</v>
      </c>
      <c r="L52" s="41" t="str">
        <f>IFERROR(VLOOKUP(D52,List1!$M$5:$N$112,2,FALSE),"0")</f>
        <v>0</v>
      </c>
      <c r="M52" s="43">
        <v>0</v>
      </c>
      <c r="N52" s="80">
        <f>VLOOKUP($D$5:$D$251,List2!$A$2:$B$241,2,FALSE)</f>
        <v>88599.4</v>
      </c>
      <c r="O52" s="80">
        <f>IFERROR(VLOOKUP($D$5:$D$260,List1!$Y$5:$Z$244,2,FALSE),0)</f>
        <v>2656807.94</v>
      </c>
      <c r="P52" s="202">
        <f>IFERROR(VLOOKUP($D$5:$D$260,List1!$AB$5:$AC$244,2,FALSE),0)</f>
        <v>0</v>
      </c>
      <c r="Q52" s="201">
        <f>IFERROR(VLOOKUP($D$5:$D$260,List1!$S$5:$T$231,2,FALSE),0)</f>
        <v>5103589</v>
      </c>
      <c r="R52" s="41">
        <v>0</v>
      </c>
      <c r="S52" s="41">
        <f>IFERROR(VLOOKUP($D$5:$D$260,List1!$AE$5:$AF$231,2,FALSE),0)</f>
        <v>1000000</v>
      </c>
      <c r="T52" s="41">
        <f t="shared" si="3"/>
        <v>6103589</v>
      </c>
      <c r="U52" s="41" t="str">
        <f>IFERROR(VLOOKUP(D52,List1!$P$5:$Q$110,2,FALSE),"0")</f>
        <v>0</v>
      </c>
      <c r="V52" s="41">
        <v>0</v>
      </c>
      <c r="W52" s="248">
        <v>0</v>
      </c>
      <c r="X52" s="211">
        <f t="shared" si="4"/>
        <v>6103589</v>
      </c>
      <c r="Y52" s="219"/>
      <c r="Z52" s="80">
        <f>IFERROR(VLOOKUP($D$5:$D$260,#REF!,3,FALSE),0)</f>
        <v>0</v>
      </c>
      <c r="AA52" s="80">
        <f>IFERROR(VLOOKUP($D$5:$D$260,#REF!,3,FALSE),0)</f>
        <v>0</v>
      </c>
      <c r="AB52" s="243">
        <v>0</v>
      </c>
      <c r="AC52" s="202">
        <f t="shared" si="5"/>
        <v>0</v>
      </c>
      <c r="AD52" s="259">
        <f t="shared" si="6"/>
        <v>0</v>
      </c>
      <c r="AE52" s="260">
        <f t="shared" si="7"/>
        <v>0</v>
      </c>
      <c r="AF52" s="260">
        <f t="shared" si="8"/>
        <v>0</v>
      </c>
      <c r="AG52" s="260">
        <f t="shared" si="9"/>
        <v>0</v>
      </c>
    </row>
    <row r="53" spans="1:592" s="13" customFormat="1" ht="21" x14ac:dyDescent="0.2">
      <c r="A53" s="10" t="s">
        <v>332</v>
      </c>
      <c r="B53" s="11">
        <v>48282961</v>
      </c>
      <c r="C53" s="11" t="s">
        <v>296</v>
      </c>
      <c r="D53" s="11">
        <v>2038560</v>
      </c>
      <c r="E53" s="225" t="s">
        <v>298</v>
      </c>
      <c r="F53" s="192" t="s">
        <v>278</v>
      </c>
      <c r="G53" s="201">
        <f>IFERROR(VLOOKUP(D53,List1!$A$5:$B$227,2,FALSE),"0")</f>
        <v>2815000</v>
      </c>
      <c r="H53" s="41" t="str">
        <f>IFERROR(VLOOKUP(D53,List1!$D$5:$E$41,2,FALSE),"0")</f>
        <v>0</v>
      </c>
      <c r="I53" s="41">
        <f>IFERROR(VLOOKUP(D53,List1!$G$5:$H$227,2,FALSE),"0")</f>
        <v>90500</v>
      </c>
      <c r="J53" s="40">
        <f t="shared" si="2"/>
        <v>2905500</v>
      </c>
      <c r="K53" s="41" t="str">
        <f>IFERROR(VLOOKUP(D53,List1!$J$5:$K$227,2,FALSE),"0")</f>
        <v>0</v>
      </c>
      <c r="L53" s="41" t="str">
        <f>IFERROR(VLOOKUP(D53,List1!$M$5:$N$112,2,FALSE),"0")</f>
        <v>0</v>
      </c>
      <c r="M53" s="43">
        <v>0</v>
      </c>
      <c r="N53" s="80">
        <f>VLOOKUP($D$5:$D$251,List2!$A$2:$B$241,2,FALSE)</f>
        <v>10150.6</v>
      </c>
      <c r="O53" s="80">
        <f>IFERROR(VLOOKUP($D$5:$D$260,List1!$Y$5:$Z$244,2,FALSE),0)</f>
        <v>881490.06</v>
      </c>
      <c r="P53" s="202">
        <f>IFERROR(VLOOKUP($D$5:$D$260,List1!$AB$5:$AC$244,2,FALSE),0)</f>
        <v>0</v>
      </c>
      <c r="Q53" s="201">
        <f>IFERROR(VLOOKUP($D$5:$D$260,List1!$S$5:$T$231,2,FALSE),0)</f>
        <v>2515559</v>
      </c>
      <c r="R53" s="41">
        <v>0</v>
      </c>
      <c r="S53" s="41">
        <f>IFERROR(VLOOKUP($D$5:$D$260,List1!$AE$5:$AF$231,2,FALSE),0)</f>
        <v>581533</v>
      </c>
      <c r="T53" s="41">
        <f t="shared" si="3"/>
        <v>3097092</v>
      </c>
      <c r="U53" s="41" t="str">
        <f>IFERROR(VLOOKUP(D53,List1!$P$5:$Q$110,2,FALSE),"0")</f>
        <v>0</v>
      </c>
      <c r="V53" s="41">
        <v>0</v>
      </c>
      <c r="W53" s="248">
        <v>0</v>
      </c>
      <c r="X53" s="211">
        <f t="shared" si="4"/>
        <v>3097092</v>
      </c>
      <c r="Y53" s="219"/>
      <c r="Z53" s="80">
        <f>IFERROR(VLOOKUP($D$5:$D$260,#REF!,3,FALSE),0)</f>
        <v>0</v>
      </c>
      <c r="AA53" s="80">
        <f>IFERROR(VLOOKUP($D$5:$D$260,#REF!,3,FALSE),0)</f>
        <v>0</v>
      </c>
      <c r="AB53" s="243">
        <v>0</v>
      </c>
      <c r="AC53" s="202">
        <f t="shared" si="5"/>
        <v>0</v>
      </c>
      <c r="AD53" s="259">
        <f t="shared" si="6"/>
        <v>0</v>
      </c>
      <c r="AE53" s="260">
        <f t="shared" si="7"/>
        <v>0</v>
      </c>
      <c r="AF53" s="260">
        <f t="shared" si="8"/>
        <v>0</v>
      </c>
      <c r="AG53" s="260">
        <f t="shared" si="9"/>
        <v>0</v>
      </c>
    </row>
    <row r="54" spans="1:592" s="13" customFormat="1" ht="63" x14ac:dyDescent="0.2">
      <c r="A54" s="10" t="s">
        <v>333</v>
      </c>
      <c r="B54" s="11">
        <v>68247877</v>
      </c>
      <c r="C54" s="11" t="s">
        <v>324</v>
      </c>
      <c r="D54" s="11">
        <v>6907978</v>
      </c>
      <c r="E54" s="225" t="s">
        <v>283</v>
      </c>
      <c r="F54" s="192" t="s">
        <v>278</v>
      </c>
      <c r="G54" s="201">
        <f>IFERROR(VLOOKUP(D54,List1!$A$5:$B$227,2,FALSE),"0")</f>
        <v>957000</v>
      </c>
      <c r="H54" s="41" t="str">
        <f>IFERROR(VLOOKUP(D54,List1!$D$5:$E$41,2,FALSE),"0")</f>
        <v>0</v>
      </c>
      <c r="I54" s="41" t="str">
        <f>IFERROR(VLOOKUP(D54,List1!$G$5:$H$227,2,FALSE),"0")</f>
        <v>0</v>
      </c>
      <c r="J54" s="40">
        <f t="shared" si="2"/>
        <v>957000</v>
      </c>
      <c r="K54" s="41" t="str">
        <f>IFERROR(VLOOKUP(D54,List1!$J$5:$K$227,2,FALSE),"0")</f>
        <v>0</v>
      </c>
      <c r="L54" s="41">
        <f>IFERROR(VLOOKUP(D54,List1!$M$5:$N$112,2,FALSE),"0")</f>
        <v>38000</v>
      </c>
      <c r="M54" s="43">
        <v>0</v>
      </c>
      <c r="N54" s="80">
        <f>VLOOKUP($D$5:$D$251,List2!$A$2:$B$241,2,FALSE)</f>
        <v>95000</v>
      </c>
      <c r="O54" s="80">
        <f>IFERROR(VLOOKUP($D$5:$D$260,List1!$Y$5:$Z$244,2,FALSE),0)</f>
        <v>0</v>
      </c>
      <c r="P54" s="202">
        <f>IFERROR(VLOOKUP($D$5:$D$260,List1!$AB$5:$AC$244,2,FALSE),0)</f>
        <v>0</v>
      </c>
      <c r="Q54" s="201">
        <f>IFERROR(VLOOKUP($D$5:$D$260,List1!$S$5:$T$231,2,FALSE),0)</f>
        <v>755787</v>
      </c>
      <c r="R54" s="41">
        <v>0</v>
      </c>
      <c r="S54" s="41">
        <f>IFERROR(VLOOKUP($D$5:$D$260,List1!$AE$5:$AF$231,2,FALSE),0)</f>
        <v>228213</v>
      </c>
      <c r="T54" s="41">
        <f t="shared" si="3"/>
        <v>984000</v>
      </c>
      <c r="U54" s="41" t="str">
        <f>IFERROR(VLOOKUP(D54,List1!$P$5:$Q$110,2,FALSE),"0")</f>
        <v>0</v>
      </c>
      <c r="V54" s="41">
        <v>0</v>
      </c>
      <c r="W54" s="248">
        <v>0</v>
      </c>
      <c r="X54" s="211">
        <f t="shared" si="4"/>
        <v>984000</v>
      </c>
      <c r="Y54" s="219"/>
      <c r="Z54" s="80">
        <f>IFERROR(VLOOKUP($D$5:$D$260,#REF!,3,FALSE),0)</f>
        <v>0</v>
      </c>
      <c r="AA54" s="80">
        <f>IFERROR(VLOOKUP($D$5:$D$260,#REF!,3,FALSE),0)</f>
        <v>0</v>
      </c>
      <c r="AB54" s="243">
        <v>0</v>
      </c>
      <c r="AC54" s="202">
        <f t="shared" si="5"/>
        <v>0</v>
      </c>
      <c r="AD54" s="259">
        <f t="shared" si="6"/>
        <v>0</v>
      </c>
      <c r="AE54" s="260">
        <f t="shared" si="7"/>
        <v>0</v>
      </c>
      <c r="AF54" s="260">
        <f t="shared" si="8"/>
        <v>0</v>
      </c>
      <c r="AG54" s="260">
        <f t="shared" si="9"/>
        <v>0</v>
      </c>
    </row>
    <row r="55" spans="1:592" s="13" customFormat="1" ht="63" x14ac:dyDescent="0.2">
      <c r="A55" s="10" t="s">
        <v>333</v>
      </c>
      <c r="B55" s="11">
        <v>68247877</v>
      </c>
      <c r="C55" s="11" t="s">
        <v>324</v>
      </c>
      <c r="D55" s="11">
        <v>3790182</v>
      </c>
      <c r="E55" s="225" t="s">
        <v>289</v>
      </c>
      <c r="F55" s="192" t="s">
        <v>269</v>
      </c>
      <c r="G55" s="201">
        <f>IFERROR(VLOOKUP(D55,List1!$A$5:$B$227,2,FALSE),"0")</f>
        <v>2468000</v>
      </c>
      <c r="H55" s="41" t="str">
        <f>IFERROR(VLOOKUP(D55,List1!$D$5:$E$41,2,FALSE),"0")</f>
        <v>0</v>
      </c>
      <c r="I55" s="41" t="str">
        <f>IFERROR(VLOOKUP(D55,List1!$G$5:$H$227,2,FALSE),"0")</f>
        <v>0</v>
      </c>
      <c r="J55" s="40">
        <f t="shared" si="2"/>
        <v>2468000</v>
      </c>
      <c r="K55" s="41" t="str">
        <f>IFERROR(VLOOKUP(D55,List1!$J$5:$K$227,2,FALSE),"0")</f>
        <v>0</v>
      </c>
      <c r="L55" s="41">
        <f>IFERROR(VLOOKUP(D55,List1!$M$5:$N$112,2,FALSE),"0")</f>
        <v>44000</v>
      </c>
      <c r="M55" s="43">
        <v>0</v>
      </c>
      <c r="N55" s="80">
        <f>VLOOKUP($D$5:$D$251,List2!$A$2:$B$241,2,FALSE)</f>
        <v>80000</v>
      </c>
      <c r="O55" s="80">
        <f>IFERROR(VLOOKUP($D$5:$D$260,List1!$Y$5:$Z$244,2,FALSE),0)</f>
        <v>0</v>
      </c>
      <c r="P55" s="202">
        <f>IFERROR(VLOOKUP($D$5:$D$260,List1!$AB$5:$AC$244,2,FALSE),0)</f>
        <v>0</v>
      </c>
      <c r="Q55" s="201">
        <f>IFERROR(VLOOKUP($D$5:$D$260,List1!$S$5:$T$231,2,FALSE),0)</f>
        <v>1969101</v>
      </c>
      <c r="R55" s="41">
        <v>0</v>
      </c>
      <c r="S55" s="41">
        <f>IFERROR(VLOOKUP($D$5:$D$260,List1!$AE$5:$AF$231,2,FALSE),0)</f>
        <v>400000</v>
      </c>
      <c r="T55" s="41">
        <f t="shared" si="3"/>
        <v>2369101</v>
      </c>
      <c r="U55" s="41" t="str">
        <f>IFERROR(VLOOKUP(D55,List1!$P$5:$Q$110,2,FALSE),"0")</f>
        <v>0</v>
      </c>
      <c r="V55" s="41">
        <v>0</v>
      </c>
      <c r="W55" s="248">
        <v>0</v>
      </c>
      <c r="X55" s="211">
        <f t="shared" si="4"/>
        <v>2369101</v>
      </c>
      <c r="Y55" s="219"/>
      <c r="Z55" s="80">
        <f>IFERROR(VLOOKUP($D$5:$D$260,#REF!,3,FALSE),0)</f>
        <v>0</v>
      </c>
      <c r="AA55" s="80">
        <f>IFERROR(VLOOKUP($D$5:$D$260,#REF!,3,FALSE),0)</f>
        <v>0</v>
      </c>
      <c r="AB55" s="243">
        <v>0</v>
      </c>
      <c r="AC55" s="202">
        <f t="shared" si="5"/>
        <v>0</v>
      </c>
      <c r="AD55" s="259">
        <f t="shared" si="6"/>
        <v>0</v>
      </c>
      <c r="AE55" s="260">
        <f t="shared" si="7"/>
        <v>0</v>
      </c>
      <c r="AF55" s="260">
        <f t="shared" si="8"/>
        <v>0</v>
      </c>
      <c r="AG55" s="260">
        <f t="shared" si="9"/>
        <v>0</v>
      </c>
    </row>
    <row r="56" spans="1:592" s="13" customFormat="1" ht="63" x14ac:dyDescent="0.2">
      <c r="A56" s="10" t="s">
        <v>333</v>
      </c>
      <c r="B56" s="11">
        <v>68247877</v>
      </c>
      <c r="C56" s="11" t="s">
        <v>324</v>
      </c>
      <c r="D56" s="11">
        <v>5312119</v>
      </c>
      <c r="E56" s="225" t="s">
        <v>334</v>
      </c>
      <c r="F56" s="192" t="s">
        <v>278</v>
      </c>
      <c r="G56" s="201">
        <f>IFERROR(VLOOKUP(D56,List1!$A$5:$B$227,2,FALSE),"0")</f>
        <v>1636000</v>
      </c>
      <c r="H56" s="41" t="str">
        <f>IFERROR(VLOOKUP(D56,List1!$D$5:$E$41,2,FALSE),"0")</f>
        <v>0</v>
      </c>
      <c r="I56" s="41" t="str">
        <f>IFERROR(VLOOKUP(D56,List1!$G$5:$H$227,2,FALSE),"0")</f>
        <v>0</v>
      </c>
      <c r="J56" s="40">
        <f t="shared" si="2"/>
        <v>1636000</v>
      </c>
      <c r="K56" s="41" t="str">
        <f>IFERROR(VLOOKUP(D56,List1!$J$5:$K$227,2,FALSE),"0")</f>
        <v>0</v>
      </c>
      <c r="L56" s="41" t="str">
        <f>IFERROR(VLOOKUP(D56,List1!$M$5:$N$112,2,FALSE),"0")</f>
        <v>0</v>
      </c>
      <c r="M56" s="43">
        <v>0</v>
      </c>
      <c r="N56" s="80">
        <f>VLOOKUP($D$5:$D$251,List2!$A$2:$B$241,2,FALSE)</f>
        <v>135000</v>
      </c>
      <c r="O56" s="80">
        <f>IFERROR(VLOOKUP($D$5:$D$260,List1!$Y$5:$Z$244,2,FALSE),0)</f>
        <v>0</v>
      </c>
      <c r="P56" s="202">
        <f>IFERROR(VLOOKUP($D$5:$D$260,List1!$AB$5:$AC$244,2,FALSE),0)</f>
        <v>0</v>
      </c>
      <c r="Q56" s="201">
        <f>IFERROR(VLOOKUP($D$5:$D$260,List1!$S$5:$T$231,2,FALSE),0)</f>
        <v>1741613</v>
      </c>
      <c r="R56" s="41">
        <v>0</v>
      </c>
      <c r="S56" s="41">
        <f>IFERROR(VLOOKUP($D$5:$D$260,List1!$AE$5:$AF$231,2,FALSE),0)</f>
        <v>193844</v>
      </c>
      <c r="T56" s="41">
        <f t="shared" si="3"/>
        <v>1935457</v>
      </c>
      <c r="U56" s="41" t="str">
        <f>IFERROR(VLOOKUP(D56,List1!$P$5:$Q$110,2,FALSE),"0")</f>
        <v>0</v>
      </c>
      <c r="V56" s="41">
        <v>0</v>
      </c>
      <c r="W56" s="248">
        <v>0</v>
      </c>
      <c r="X56" s="211">
        <f t="shared" si="4"/>
        <v>1935457</v>
      </c>
      <c r="Y56" s="219"/>
      <c r="Z56" s="80">
        <f>IFERROR(VLOOKUP($D$5:$D$260,#REF!,3,FALSE),0)</f>
        <v>0</v>
      </c>
      <c r="AA56" s="80">
        <f>IFERROR(VLOOKUP($D$5:$D$260,#REF!,3,FALSE),0)</f>
        <v>0</v>
      </c>
      <c r="AB56" s="243">
        <v>0</v>
      </c>
      <c r="AC56" s="202">
        <f t="shared" si="5"/>
        <v>0</v>
      </c>
      <c r="AD56" s="259">
        <f t="shared" si="6"/>
        <v>0</v>
      </c>
      <c r="AE56" s="260">
        <f t="shared" si="7"/>
        <v>0</v>
      </c>
      <c r="AF56" s="260">
        <f t="shared" si="8"/>
        <v>0</v>
      </c>
      <c r="AG56" s="260">
        <f t="shared" si="9"/>
        <v>0</v>
      </c>
    </row>
    <row r="57" spans="1:592" s="24" customFormat="1" ht="63" x14ac:dyDescent="0.2">
      <c r="A57" s="10" t="s">
        <v>335</v>
      </c>
      <c r="B57" s="15" t="s">
        <v>336</v>
      </c>
      <c r="C57" s="11" t="s">
        <v>324</v>
      </c>
      <c r="D57" s="11">
        <v>4297455</v>
      </c>
      <c r="E57" s="225" t="s">
        <v>289</v>
      </c>
      <c r="F57" s="192" t="s">
        <v>269</v>
      </c>
      <c r="G57" s="201">
        <f>IFERROR(VLOOKUP(D57,List1!$A$5:$B$227,2,FALSE),"0")</f>
        <v>2357000</v>
      </c>
      <c r="H57" s="41" t="str">
        <f>IFERROR(VLOOKUP(D57,List1!$D$5:$E$41,2,FALSE),"0")</f>
        <v>0</v>
      </c>
      <c r="I57" s="41" t="str">
        <f>IFERROR(VLOOKUP(D57,List1!$G$5:$H$227,2,FALSE),"0")</f>
        <v>0</v>
      </c>
      <c r="J57" s="40">
        <f t="shared" si="2"/>
        <v>2357000</v>
      </c>
      <c r="K57" s="41" t="str">
        <f>IFERROR(VLOOKUP(D57,List1!$J$5:$K$227,2,FALSE),"0")</f>
        <v>0</v>
      </c>
      <c r="L57" s="41" t="str">
        <f>IFERROR(VLOOKUP(D57,List1!$M$5:$N$112,2,FALSE),"0")</f>
        <v>0</v>
      </c>
      <c r="M57" s="43">
        <v>0</v>
      </c>
      <c r="N57" s="80">
        <f>VLOOKUP($D$5:$D$251,List2!$A$2:$B$241,2,FALSE)</f>
        <v>0</v>
      </c>
      <c r="O57" s="80">
        <f>IFERROR(VLOOKUP($D$5:$D$260,List1!$Y$5:$Z$244,2,FALSE),0)</f>
        <v>0</v>
      </c>
      <c r="P57" s="202">
        <f>IFERROR(VLOOKUP($D$5:$D$260,List1!$AB$5:$AC$244,2,FALSE),0)</f>
        <v>0</v>
      </c>
      <c r="Q57" s="201">
        <f>IFERROR(VLOOKUP($D$5:$D$260,List1!$S$5:$T$231,2,FALSE),0)</f>
        <v>1808358</v>
      </c>
      <c r="R57" s="41">
        <v>0</v>
      </c>
      <c r="S57" s="41">
        <f>IFERROR(VLOOKUP($D$5:$D$260,List1!$AE$5:$AF$231,2,FALSE),0)</f>
        <v>200000</v>
      </c>
      <c r="T57" s="41">
        <f t="shared" si="3"/>
        <v>2008358</v>
      </c>
      <c r="U57" s="41" t="str">
        <f>IFERROR(VLOOKUP(D57,List1!$P$5:$Q$110,2,FALSE),"0")</f>
        <v>0</v>
      </c>
      <c r="V57" s="41">
        <v>0</v>
      </c>
      <c r="W57" s="248">
        <v>0</v>
      </c>
      <c r="X57" s="211">
        <f t="shared" si="4"/>
        <v>2008358</v>
      </c>
      <c r="Y57" s="219"/>
      <c r="Z57" s="80">
        <f>IFERROR(VLOOKUP($D$5:$D$260,#REF!,3,FALSE),0)</f>
        <v>0</v>
      </c>
      <c r="AA57" s="80">
        <f>IFERROR(VLOOKUP($D$5:$D$260,#REF!,3,FALSE),0)</f>
        <v>0</v>
      </c>
      <c r="AB57" s="243">
        <v>0</v>
      </c>
      <c r="AC57" s="202">
        <f t="shared" si="5"/>
        <v>0</v>
      </c>
      <c r="AD57" s="259">
        <f t="shared" si="6"/>
        <v>0</v>
      </c>
      <c r="AE57" s="260">
        <f t="shared" si="7"/>
        <v>0</v>
      </c>
      <c r="AF57" s="260">
        <f t="shared" si="8"/>
        <v>0</v>
      </c>
      <c r="AG57" s="260">
        <f t="shared" si="9"/>
        <v>0</v>
      </c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3"/>
      <c r="NH57" s="23"/>
      <c r="NI57" s="23"/>
      <c r="NJ57" s="23"/>
      <c r="NK57" s="23"/>
      <c r="NL57" s="23"/>
      <c r="NM57" s="23"/>
      <c r="NN57" s="23"/>
      <c r="NO57" s="23"/>
      <c r="NP57" s="23"/>
      <c r="NQ57" s="23"/>
      <c r="NR57" s="23"/>
      <c r="NS57" s="23"/>
      <c r="NT57" s="23"/>
      <c r="NU57" s="23"/>
      <c r="NV57" s="23"/>
      <c r="NW57" s="23"/>
      <c r="NX57" s="23"/>
      <c r="NY57" s="23"/>
      <c r="NZ57" s="23"/>
      <c r="OA57" s="23"/>
      <c r="OB57" s="23"/>
      <c r="OC57" s="23"/>
      <c r="OD57" s="23"/>
      <c r="OE57" s="23"/>
      <c r="OF57" s="23"/>
      <c r="OG57" s="23"/>
      <c r="OH57" s="23"/>
      <c r="OI57" s="23"/>
      <c r="OJ57" s="23"/>
      <c r="OK57" s="23"/>
      <c r="OL57" s="23"/>
      <c r="OM57" s="23"/>
      <c r="ON57" s="23"/>
      <c r="OO57" s="23"/>
      <c r="OP57" s="23"/>
      <c r="OQ57" s="23"/>
      <c r="OR57" s="23"/>
      <c r="OS57" s="23"/>
      <c r="OT57" s="23"/>
      <c r="OU57" s="23"/>
      <c r="OV57" s="23"/>
      <c r="OW57" s="23"/>
      <c r="OX57" s="23"/>
      <c r="OY57" s="23"/>
      <c r="OZ57" s="23"/>
      <c r="PA57" s="23"/>
      <c r="PB57" s="23"/>
      <c r="PC57" s="23"/>
      <c r="PD57" s="23"/>
      <c r="PE57" s="23"/>
      <c r="PF57" s="23"/>
      <c r="PG57" s="23"/>
      <c r="PH57" s="23"/>
      <c r="PI57" s="23"/>
      <c r="PJ57" s="23"/>
      <c r="PK57" s="23"/>
      <c r="PL57" s="23"/>
      <c r="PM57" s="23"/>
      <c r="PN57" s="23"/>
      <c r="PO57" s="23"/>
      <c r="PP57" s="23"/>
      <c r="PQ57" s="23"/>
      <c r="PR57" s="23"/>
      <c r="PS57" s="23"/>
      <c r="PT57" s="23"/>
      <c r="PU57" s="23"/>
      <c r="PV57" s="23"/>
      <c r="PW57" s="23"/>
      <c r="PX57" s="23"/>
      <c r="PY57" s="23"/>
      <c r="PZ57" s="23"/>
      <c r="QA57" s="23"/>
      <c r="QB57" s="23"/>
      <c r="QC57" s="23"/>
      <c r="QD57" s="23"/>
      <c r="QE57" s="23"/>
      <c r="QF57" s="23"/>
      <c r="QG57" s="23"/>
      <c r="QH57" s="23"/>
      <c r="QI57" s="23"/>
      <c r="QJ57" s="23"/>
      <c r="QK57" s="23"/>
      <c r="QL57" s="23"/>
      <c r="QM57" s="23"/>
      <c r="QN57" s="23"/>
      <c r="QO57" s="23"/>
      <c r="QP57" s="23"/>
      <c r="QQ57" s="23"/>
      <c r="QR57" s="23"/>
      <c r="QS57" s="23"/>
      <c r="QT57" s="23"/>
      <c r="QU57" s="23"/>
      <c r="QV57" s="23"/>
      <c r="QW57" s="23"/>
      <c r="QX57" s="23"/>
      <c r="QY57" s="23"/>
      <c r="QZ57" s="23"/>
      <c r="RA57" s="23"/>
      <c r="RB57" s="23"/>
      <c r="RC57" s="23"/>
      <c r="RD57" s="23"/>
      <c r="RE57" s="23"/>
      <c r="RF57" s="23"/>
      <c r="RG57" s="23"/>
      <c r="RH57" s="23"/>
      <c r="RI57" s="23"/>
      <c r="RJ57" s="23"/>
      <c r="RK57" s="23"/>
      <c r="RL57" s="23"/>
      <c r="RM57" s="23"/>
      <c r="RN57" s="23"/>
      <c r="RO57" s="23"/>
      <c r="RP57" s="23"/>
      <c r="RQ57" s="23"/>
      <c r="RR57" s="23"/>
      <c r="RS57" s="23"/>
      <c r="RT57" s="23"/>
      <c r="RU57" s="23"/>
      <c r="RV57" s="23"/>
      <c r="RW57" s="23"/>
      <c r="RX57" s="23"/>
      <c r="RY57" s="23"/>
      <c r="RZ57" s="23"/>
      <c r="SA57" s="23"/>
      <c r="SB57" s="23"/>
      <c r="SC57" s="23"/>
      <c r="SD57" s="23"/>
      <c r="SE57" s="23"/>
      <c r="SF57" s="23"/>
      <c r="SG57" s="23"/>
      <c r="SH57" s="23"/>
      <c r="SI57" s="23"/>
      <c r="SJ57" s="23"/>
      <c r="SK57" s="23"/>
      <c r="SL57" s="23"/>
      <c r="SM57" s="23"/>
      <c r="SN57" s="23"/>
      <c r="SO57" s="23"/>
      <c r="SP57" s="23"/>
      <c r="SQ57" s="23"/>
      <c r="SR57" s="23"/>
      <c r="SS57" s="23"/>
      <c r="ST57" s="23"/>
      <c r="SU57" s="23"/>
      <c r="SV57" s="23"/>
      <c r="SW57" s="23"/>
      <c r="SX57" s="23"/>
      <c r="SY57" s="23"/>
      <c r="SZ57" s="23"/>
      <c r="TA57" s="23"/>
      <c r="TB57" s="23"/>
      <c r="TC57" s="23"/>
      <c r="TD57" s="23"/>
      <c r="TE57" s="23"/>
      <c r="TF57" s="23"/>
      <c r="TG57" s="23"/>
      <c r="TH57" s="23"/>
      <c r="TI57" s="23"/>
      <c r="TJ57" s="23"/>
      <c r="TK57" s="23"/>
      <c r="TL57" s="23"/>
      <c r="TM57" s="23"/>
      <c r="TN57" s="23"/>
      <c r="TO57" s="23"/>
      <c r="TP57" s="23"/>
      <c r="TQ57" s="23"/>
      <c r="TR57" s="23"/>
      <c r="TS57" s="23"/>
      <c r="TT57" s="23"/>
      <c r="TU57" s="23"/>
      <c r="TV57" s="23"/>
      <c r="TW57" s="23"/>
      <c r="TX57" s="23"/>
      <c r="TY57" s="23"/>
      <c r="TZ57" s="23"/>
      <c r="UA57" s="23"/>
      <c r="UB57" s="23"/>
      <c r="UC57" s="23"/>
      <c r="UD57" s="23"/>
      <c r="UE57" s="23"/>
      <c r="UF57" s="23"/>
      <c r="UG57" s="23"/>
      <c r="UH57" s="23"/>
      <c r="UI57" s="23"/>
      <c r="UJ57" s="23"/>
      <c r="UK57" s="23"/>
      <c r="UL57" s="23"/>
      <c r="UM57" s="23"/>
      <c r="UN57" s="23"/>
      <c r="UO57" s="23"/>
      <c r="UP57" s="23"/>
      <c r="UQ57" s="23"/>
      <c r="UR57" s="23"/>
      <c r="US57" s="23"/>
      <c r="UT57" s="23"/>
      <c r="UU57" s="23"/>
      <c r="UV57" s="23"/>
      <c r="UW57" s="23"/>
      <c r="UX57" s="23"/>
      <c r="UY57" s="23"/>
      <c r="UZ57" s="23"/>
      <c r="VA57" s="23"/>
      <c r="VB57" s="23"/>
      <c r="VC57" s="23"/>
      <c r="VD57" s="23"/>
      <c r="VE57" s="23"/>
      <c r="VF57" s="23"/>
      <c r="VG57" s="23"/>
      <c r="VH57" s="23"/>
      <c r="VI57" s="23"/>
      <c r="VJ57" s="23"/>
      <c r="VK57" s="23"/>
      <c r="VL57" s="23"/>
      <c r="VM57" s="23"/>
      <c r="VN57" s="23"/>
      <c r="VO57" s="23"/>
      <c r="VP57" s="23"/>
      <c r="VQ57" s="23"/>
      <c r="VR57" s="23"/>
      <c r="VS57" s="23"/>
      <c r="VT57" s="23"/>
    </row>
    <row r="58" spans="1:592" s="24" customFormat="1" ht="31.5" x14ac:dyDescent="0.2">
      <c r="A58" s="10" t="s">
        <v>178</v>
      </c>
      <c r="B58" s="11">
        <v>27298523</v>
      </c>
      <c r="C58" s="11" t="s">
        <v>318</v>
      </c>
      <c r="D58" s="11">
        <v>5793673</v>
      </c>
      <c r="E58" s="225" t="s">
        <v>321</v>
      </c>
      <c r="F58" s="192" t="s">
        <v>294</v>
      </c>
      <c r="G58" s="203">
        <f>IFERROR(VLOOKUP(D58,List1!$A$5:$B$227,2,FALSE),"0")-1541000</f>
        <v>0</v>
      </c>
      <c r="H58" s="41" t="str">
        <f>IFERROR(VLOOKUP(D58,List1!$D$5:$E$41,2,FALSE),"0")</f>
        <v>0</v>
      </c>
      <c r="I58" s="41">
        <f>IFERROR(VLOOKUP(D58,List1!$G$5:$H$227,2,FALSE),"0")</f>
        <v>0</v>
      </c>
      <c r="J58" s="40">
        <f t="shared" si="2"/>
        <v>0</v>
      </c>
      <c r="K58" s="41" t="str">
        <f>IFERROR(VLOOKUP(D58,List1!$J$5:$K$227,2,FALSE),"0")</f>
        <v>0</v>
      </c>
      <c r="L58" s="41" t="str">
        <f>IFERROR(VLOOKUP(D58,List1!$M$5:$N$112,2,FALSE),"0")</f>
        <v>0</v>
      </c>
      <c r="M58" s="43">
        <v>3846290</v>
      </c>
      <c r="N58" s="80">
        <f>VLOOKUP($D$5:$D$251,List2!$A$2:$B$241,2,FALSE)</f>
        <v>130537</v>
      </c>
      <c r="O58" s="80">
        <f>IFERROR(VLOOKUP($D$5:$D$260,List1!$Y$5:$Z$244,2,FALSE),0)</f>
        <v>0</v>
      </c>
      <c r="P58" s="202">
        <f>IFERROR(VLOOKUP($D$5:$D$260,List1!$AB$5:$AC$244,2,FALSE),0)</f>
        <v>0</v>
      </c>
      <c r="Q58" s="201">
        <f>IFERROR(VLOOKUP($D$5:$D$260,List1!$S$5:$T$231,2,FALSE),0)</f>
        <v>2147541</v>
      </c>
      <c r="R58" s="41">
        <v>0</v>
      </c>
      <c r="S58" s="45">
        <f>IFERROR(VLOOKUP($D$5:$D$260,List1!$AE$5:$AF$231,2,FALSE),0)+133636</f>
        <v>583636</v>
      </c>
      <c r="T58" s="41">
        <f t="shared" si="3"/>
        <v>2731177</v>
      </c>
      <c r="U58" s="41">
        <f>IFERROR(VLOOKUP(D58,List1!$P$5:$Q$110,2,FALSE),"0")</f>
        <v>290000</v>
      </c>
      <c r="V58" s="41">
        <v>0</v>
      </c>
      <c r="W58" s="248">
        <v>0</v>
      </c>
      <c r="X58" s="211">
        <f t="shared" si="4"/>
        <v>3021177</v>
      </c>
      <c r="Y58" s="219"/>
      <c r="Z58" s="80">
        <f>IFERROR(VLOOKUP($D$5:$D$260,#REF!,3,FALSE),0)</f>
        <v>0</v>
      </c>
      <c r="AA58" s="80">
        <f>IFERROR(VLOOKUP($D$5:$D$260,#REF!,3,FALSE),0)</f>
        <v>0</v>
      </c>
      <c r="AB58" s="243">
        <v>0</v>
      </c>
      <c r="AC58" s="202">
        <f t="shared" si="5"/>
        <v>0</v>
      </c>
      <c r="AD58" s="259">
        <f t="shared" si="6"/>
        <v>-290000</v>
      </c>
      <c r="AE58" s="260">
        <f t="shared" si="7"/>
        <v>-1</v>
      </c>
      <c r="AF58" s="260">
        <f t="shared" si="8"/>
        <v>-1</v>
      </c>
      <c r="AG58" s="260">
        <f t="shared" si="9"/>
        <v>-1</v>
      </c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23"/>
      <c r="NH58" s="23"/>
      <c r="NI58" s="23"/>
      <c r="NJ58" s="23"/>
      <c r="NK58" s="23"/>
      <c r="NL58" s="23"/>
      <c r="NM58" s="23"/>
      <c r="NN58" s="23"/>
      <c r="NO58" s="23"/>
      <c r="NP58" s="23"/>
      <c r="NQ58" s="23"/>
      <c r="NR58" s="23"/>
      <c r="NS58" s="23"/>
      <c r="NT58" s="23"/>
      <c r="NU58" s="23"/>
      <c r="NV58" s="23"/>
      <c r="NW58" s="23"/>
      <c r="NX58" s="23"/>
      <c r="NY58" s="23"/>
      <c r="NZ58" s="23"/>
      <c r="OA58" s="23"/>
      <c r="OB58" s="23"/>
      <c r="OC58" s="23"/>
      <c r="OD58" s="23"/>
      <c r="OE58" s="23"/>
      <c r="OF58" s="23"/>
      <c r="OG58" s="23"/>
      <c r="OH58" s="23"/>
      <c r="OI58" s="23"/>
      <c r="OJ58" s="23"/>
      <c r="OK58" s="23"/>
      <c r="OL58" s="23"/>
      <c r="OM58" s="23"/>
      <c r="ON58" s="23"/>
      <c r="OO58" s="23"/>
      <c r="OP58" s="23"/>
      <c r="OQ58" s="23"/>
      <c r="OR58" s="23"/>
      <c r="OS58" s="23"/>
      <c r="OT58" s="23"/>
      <c r="OU58" s="23"/>
      <c r="OV58" s="23"/>
      <c r="OW58" s="23"/>
      <c r="OX58" s="23"/>
      <c r="OY58" s="23"/>
      <c r="OZ58" s="23"/>
      <c r="PA58" s="23"/>
      <c r="PB58" s="23"/>
      <c r="PC58" s="23"/>
      <c r="PD58" s="23"/>
      <c r="PE58" s="23"/>
      <c r="PF58" s="23"/>
      <c r="PG58" s="23"/>
      <c r="PH58" s="23"/>
      <c r="PI58" s="23"/>
      <c r="PJ58" s="23"/>
      <c r="PK58" s="23"/>
      <c r="PL58" s="23"/>
      <c r="PM58" s="23"/>
      <c r="PN58" s="23"/>
      <c r="PO58" s="23"/>
      <c r="PP58" s="23"/>
      <c r="PQ58" s="23"/>
      <c r="PR58" s="23"/>
      <c r="PS58" s="23"/>
      <c r="PT58" s="23"/>
      <c r="PU58" s="23"/>
      <c r="PV58" s="23"/>
      <c r="PW58" s="23"/>
      <c r="PX58" s="23"/>
      <c r="PY58" s="23"/>
      <c r="PZ58" s="23"/>
      <c r="QA58" s="23"/>
      <c r="QB58" s="23"/>
      <c r="QC58" s="23"/>
      <c r="QD58" s="23"/>
      <c r="QE58" s="23"/>
      <c r="QF58" s="23"/>
      <c r="QG58" s="23"/>
      <c r="QH58" s="23"/>
      <c r="QI58" s="23"/>
      <c r="QJ58" s="23"/>
      <c r="QK58" s="23"/>
      <c r="QL58" s="23"/>
      <c r="QM58" s="23"/>
      <c r="QN58" s="23"/>
      <c r="QO58" s="23"/>
      <c r="QP58" s="23"/>
      <c r="QQ58" s="23"/>
      <c r="QR58" s="23"/>
      <c r="QS58" s="23"/>
      <c r="QT58" s="23"/>
      <c r="QU58" s="23"/>
      <c r="QV58" s="23"/>
      <c r="QW58" s="23"/>
      <c r="QX58" s="23"/>
      <c r="QY58" s="23"/>
      <c r="QZ58" s="23"/>
      <c r="RA58" s="23"/>
      <c r="RB58" s="23"/>
      <c r="RC58" s="23"/>
      <c r="RD58" s="23"/>
      <c r="RE58" s="23"/>
      <c r="RF58" s="23"/>
      <c r="RG58" s="23"/>
      <c r="RH58" s="23"/>
      <c r="RI58" s="23"/>
      <c r="RJ58" s="23"/>
      <c r="RK58" s="23"/>
      <c r="RL58" s="23"/>
      <c r="RM58" s="23"/>
      <c r="RN58" s="23"/>
      <c r="RO58" s="23"/>
      <c r="RP58" s="23"/>
      <c r="RQ58" s="23"/>
      <c r="RR58" s="23"/>
      <c r="RS58" s="23"/>
      <c r="RT58" s="23"/>
      <c r="RU58" s="23"/>
      <c r="RV58" s="23"/>
      <c r="RW58" s="23"/>
      <c r="RX58" s="23"/>
      <c r="RY58" s="23"/>
      <c r="RZ58" s="23"/>
      <c r="SA58" s="23"/>
      <c r="SB58" s="23"/>
      <c r="SC58" s="23"/>
      <c r="SD58" s="23"/>
      <c r="SE58" s="23"/>
      <c r="SF58" s="23"/>
      <c r="SG58" s="23"/>
      <c r="SH58" s="23"/>
      <c r="SI58" s="23"/>
      <c r="SJ58" s="23"/>
      <c r="SK58" s="23"/>
      <c r="SL58" s="23"/>
      <c r="SM58" s="23"/>
      <c r="SN58" s="23"/>
      <c r="SO58" s="23"/>
      <c r="SP58" s="23"/>
      <c r="SQ58" s="23"/>
      <c r="SR58" s="23"/>
      <c r="SS58" s="23"/>
      <c r="ST58" s="23"/>
      <c r="SU58" s="23"/>
      <c r="SV58" s="23"/>
      <c r="SW58" s="23"/>
      <c r="SX58" s="23"/>
      <c r="SY58" s="23"/>
      <c r="SZ58" s="23"/>
      <c r="TA58" s="23"/>
      <c r="TB58" s="23"/>
      <c r="TC58" s="23"/>
      <c r="TD58" s="23"/>
      <c r="TE58" s="23"/>
      <c r="TF58" s="23"/>
      <c r="TG58" s="23"/>
      <c r="TH58" s="23"/>
      <c r="TI58" s="23"/>
      <c r="TJ58" s="23"/>
      <c r="TK58" s="23"/>
      <c r="TL58" s="23"/>
      <c r="TM58" s="23"/>
      <c r="TN58" s="23"/>
      <c r="TO58" s="23"/>
      <c r="TP58" s="23"/>
      <c r="TQ58" s="23"/>
      <c r="TR58" s="23"/>
      <c r="TS58" s="23"/>
      <c r="TT58" s="23"/>
      <c r="TU58" s="23"/>
      <c r="TV58" s="23"/>
      <c r="TW58" s="23"/>
      <c r="TX58" s="23"/>
      <c r="TY58" s="23"/>
      <c r="TZ58" s="23"/>
      <c r="UA58" s="23"/>
      <c r="UB58" s="23"/>
      <c r="UC58" s="23"/>
      <c r="UD58" s="23"/>
      <c r="UE58" s="23"/>
      <c r="UF58" s="23"/>
      <c r="UG58" s="23"/>
      <c r="UH58" s="23"/>
      <c r="UI58" s="23"/>
      <c r="UJ58" s="23"/>
      <c r="UK58" s="23"/>
      <c r="UL58" s="23"/>
      <c r="UM58" s="23"/>
      <c r="UN58" s="23"/>
      <c r="UO58" s="23"/>
      <c r="UP58" s="23"/>
      <c r="UQ58" s="23"/>
      <c r="UR58" s="23"/>
      <c r="US58" s="23"/>
      <c r="UT58" s="23"/>
      <c r="UU58" s="23"/>
      <c r="UV58" s="23"/>
      <c r="UW58" s="23"/>
      <c r="UX58" s="23"/>
      <c r="UY58" s="23"/>
      <c r="UZ58" s="23"/>
      <c r="VA58" s="23"/>
      <c r="VB58" s="23"/>
      <c r="VC58" s="23"/>
      <c r="VD58" s="23"/>
      <c r="VE58" s="23"/>
      <c r="VF58" s="23"/>
      <c r="VG58" s="23"/>
      <c r="VH58" s="23"/>
      <c r="VI58" s="23"/>
      <c r="VJ58" s="23"/>
      <c r="VK58" s="23"/>
      <c r="VL58" s="23"/>
      <c r="VM58" s="23"/>
      <c r="VN58" s="23"/>
      <c r="VO58" s="23"/>
      <c r="VP58" s="23"/>
      <c r="VQ58" s="23"/>
      <c r="VR58" s="23"/>
      <c r="VS58" s="23"/>
      <c r="VT58" s="23"/>
    </row>
    <row r="59" spans="1:592" s="13" customFormat="1" ht="31.5" x14ac:dyDescent="0.2">
      <c r="A59" s="10" t="s">
        <v>178</v>
      </c>
      <c r="B59" s="11">
        <v>27298523</v>
      </c>
      <c r="C59" s="11" t="s">
        <v>318</v>
      </c>
      <c r="D59" s="11">
        <v>3166608</v>
      </c>
      <c r="E59" s="225" t="s">
        <v>298</v>
      </c>
      <c r="F59" s="192" t="s">
        <v>278</v>
      </c>
      <c r="G59" s="201">
        <f>IFERROR(VLOOKUP(D59,List1!$A$5:$B$227,2,FALSE),"0")</f>
        <v>5282000</v>
      </c>
      <c r="H59" s="41" t="str">
        <f>IFERROR(VLOOKUP(D59,List1!$D$5:$E$41,2,FALSE),"0")</f>
        <v>0</v>
      </c>
      <c r="I59" s="41">
        <f>IFERROR(VLOOKUP(D59,List1!$G$5:$H$227,2,FALSE),"0")</f>
        <v>554000</v>
      </c>
      <c r="J59" s="40">
        <f t="shared" si="2"/>
        <v>5836000</v>
      </c>
      <c r="K59" s="41" t="str">
        <f>IFERROR(VLOOKUP(D59,List1!$J$5:$K$227,2,FALSE),"0")</f>
        <v>0</v>
      </c>
      <c r="L59" s="41">
        <f>IFERROR(VLOOKUP(D59,List1!$M$5:$N$112,2,FALSE),"0")</f>
        <v>114000</v>
      </c>
      <c r="M59" s="43">
        <v>0</v>
      </c>
      <c r="N59" s="80">
        <f>VLOOKUP($D$5:$D$251,List2!$A$2:$B$241,2,FALSE)</f>
        <v>267743</v>
      </c>
      <c r="O59" s="80">
        <f>IFERROR(VLOOKUP($D$5:$D$260,List1!$Y$5:$Z$244,2,FALSE),0)</f>
        <v>0</v>
      </c>
      <c r="P59" s="202">
        <f>IFERROR(VLOOKUP($D$5:$D$260,List1!$AB$5:$AC$244,2,FALSE),0)</f>
        <v>0</v>
      </c>
      <c r="Q59" s="201">
        <f>IFERROR(VLOOKUP($D$5:$D$260,List1!$S$5:$T$231,2,FALSE),0)</f>
        <v>4824670</v>
      </c>
      <c r="R59" s="41">
        <v>0</v>
      </c>
      <c r="S59" s="41">
        <f>IFERROR(VLOOKUP($D$5:$D$260,List1!$AE$5:$AF$231,2,FALSE),0)</f>
        <v>1456830</v>
      </c>
      <c r="T59" s="41">
        <f t="shared" si="3"/>
        <v>6281500</v>
      </c>
      <c r="U59" s="41">
        <f>IFERROR(VLOOKUP(D59,List1!$P$5:$Q$110,2,FALSE),"0")</f>
        <v>490000</v>
      </c>
      <c r="V59" s="41">
        <v>0</v>
      </c>
      <c r="W59" s="248">
        <v>0</v>
      </c>
      <c r="X59" s="211">
        <f t="shared" si="4"/>
        <v>6771500</v>
      </c>
      <c r="Y59" s="219"/>
      <c r="Z59" s="80">
        <f>IFERROR(VLOOKUP($D$5:$D$260,#REF!,3,FALSE),0)</f>
        <v>0</v>
      </c>
      <c r="AA59" s="80">
        <f>IFERROR(VLOOKUP($D$5:$D$260,#REF!,3,FALSE),0)</f>
        <v>0</v>
      </c>
      <c r="AB59" s="243">
        <v>0</v>
      </c>
      <c r="AC59" s="202">
        <f t="shared" si="5"/>
        <v>0</v>
      </c>
      <c r="AD59" s="259">
        <f t="shared" si="6"/>
        <v>-490000</v>
      </c>
      <c r="AE59" s="260">
        <f t="shared" si="7"/>
        <v>-1</v>
      </c>
      <c r="AF59" s="260">
        <f t="shared" si="8"/>
        <v>-1</v>
      </c>
      <c r="AG59" s="260">
        <f t="shared" si="9"/>
        <v>-1</v>
      </c>
    </row>
    <row r="60" spans="1:592" s="13" customFormat="1" ht="31.5" x14ac:dyDescent="0.2">
      <c r="A60" s="10" t="s">
        <v>178</v>
      </c>
      <c r="B60" s="11">
        <v>27298523</v>
      </c>
      <c r="C60" s="11" t="s">
        <v>318</v>
      </c>
      <c r="D60" s="11">
        <v>7044506</v>
      </c>
      <c r="E60" s="225" t="s">
        <v>337</v>
      </c>
      <c r="F60" s="192" t="s">
        <v>278</v>
      </c>
      <c r="G60" s="201">
        <f>IFERROR(VLOOKUP(D60,List1!$A$5:$B$227,2,FALSE),"0")</f>
        <v>6158000</v>
      </c>
      <c r="H60" s="41">
        <f>IFERROR(VLOOKUP(D60,List1!$D$5:$E$41,2,FALSE),"0")</f>
        <v>895200</v>
      </c>
      <c r="I60" s="41">
        <f>IFERROR(VLOOKUP(D60,List1!$G$5:$H$227,2,FALSE),"0")</f>
        <v>520000</v>
      </c>
      <c r="J60" s="40">
        <f t="shared" si="2"/>
        <v>7573200</v>
      </c>
      <c r="K60" s="41" t="str">
        <f>IFERROR(VLOOKUP(D60,List1!$J$5:$K$227,2,FALSE),"0")</f>
        <v>0</v>
      </c>
      <c r="L60" s="41">
        <f>IFERROR(VLOOKUP(D60,List1!$M$5:$N$112,2,FALSE),"0")</f>
        <v>159000</v>
      </c>
      <c r="M60" s="43">
        <v>0</v>
      </c>
      <c r="N60" s="80">
        <f>VLOOKUP($D$5:$D$251,List2!$A$2:$B$241,2,FALSE)</f>
        <v>350000</v>
      </c>
      <c r="O60" s="80">
        <f>IFERROR(VLOOKUP($D$5:$D$260,List1!$Y$5:$Z$244,2,FALSE),0)</f>
        <v>0</v>
      </c>
      <c r="P60" s="202">
        <f>IFERROR(VLOOKUP($D$5:$D$260,List1!$AB$5:$AC$244,2,FALSE),0)</f>
        <v>0</v>
      </c>
      <c r="Q60" s="201">
        <f>IFERROR(VLOOKUP($D$5:$D$260,List1!$S$5:$T$231,2,FALSE),0)</f>
        <v>6751389</v>
      </c>
      <c r="R60" s="41">
        <v>0</v>
      </c>
      <c r="S60" s="41">
        <f>IFERROR(VLOOKUP($D$5:$D$260,List1!$AE$5:$AF$231,2,FALSE),0)</f>
        <v>2038611</v>
      </c>
      <c r="T60" s="41">
        <f t="shared" si="3"/>
        <v>8790000</v>
      </c>
      <c r="U60" s="41">
        <f>IFERROR(VLOOKUP(D60,List1!$P$5:$Q$110,2,FALSE),"0")</f>
        <v>490000</v>
      </c>
      <c r="V60" s="41">
        <v>0</v>
      </c>
      <c r="W60" s="248">
        <v>0</v>
      </c>
      <c r="X60" s="211">
        <f t="shared" si="4"/>
        <v>9280000</v>
      </c>
      <c r="Y60" s="219"/>
      <c r="Z60" s="80">
        <f>IFERROR(VLOOKUP($D$5:$D$260,#REF!,3,FALSE),0)</f>
        <v>0</v>
      </c>
      <c r="AA60" s="80">
        <f>IFERROR(VLOOKUP($D$5:$D$260,#REF!,3,FALSE),0)</f>
        <v>0</v>
      </c>
      <c r="AB60" s="243">
        <v>0</v>
      </c>
      <c r="AC60" s="202">
        <f t="shared" si="5"/>
        <v>0</v>
      </c>
      <c r="AD60" s="259">
        <f t="shared" si="6"/>
        <v>-490000</v>
      </c>
      <c r="AE60" s="260">
        <f t="shared" si="7"/>
        <v>-1</v>
      </c>
      <c r="AF60" s="260">
        <f t="shared" si="8"/>
        <v>-1</v>
      </c>
      <c r="AG60" s="260">
        <f t="shared" si="9"/>
        <v>-1</v>
      </c>
    </row>
    <row r="61" spans="1:592" s="13" customFormat="1" ht="31.5" x14ac:dyDescent="0.2">
      <c r="A61" s="10" t="s">
        <v>178</v>
      </c>
      <c r="B61" s="11">
        <v>27298523</v>
      </c>
      <c r="C61" s="11" t="s">
        <v>318</v>
      </c>
      <c r="D61" s="11">
        <v>2718583</v>
      </c>
      <c r="E61" s="228" t="s">
        <v>338</v>
      </c>
      <c r="F61" s="192" t="s">
        <v>269</v>
      </c>
      <c r="G61" s="203">
        <f>IFERROR(VLOOKUP(D61,List1!$A$5:$B$227,2,FALSE),"0")-1272000</f>
        <v>0</v>
      </c>
      <c r="H61" s="41" t="str">
        <f>IFERROR(VLOOKUP(D61,List1!$D$5:$E$41,2,FALSE),"0")</f>
        <v>0</v>
      </c>
      <c r="I61" s="41">
        <f>IFERROR(VLOOKUP(D61,List1!$G$5:$H$227,2,FALSE),"0")</f>
        <v>0</v>
      </c>
      <c r="J61" s="40">
        <f t="shared" si="2"/>
        <v>0</v>
      </c>
      <c r="K61" s="41" t="str">
        <f>IFERROR(VLOOKUP(D61,List1!$J$5:$K$227,2,FALSE),"0")</f>
        <v>0</v>
      </c>
      <c r="L61" s="41" t="str">
        <f>IFERROR(VLOOKUP(D61,List1!$M$5:$N$112,2,FALSE),"0")</f>
        <v>0</v>
      </c>
      <c r="M61" s="43">
        <v>2407778</v>
      </c>
      <c r="N61" s="80">
        <f>VLOOKUP($D$5:$D$251,List2!$A$2:$B$241,2,FALSE)</f>
        <v>86345</v>
      </c>
      <c r="O61" s="80">
        <f>IFERROR(VLOOKUP($D$5:$D$260,List1!$Y$5:$Z$244,2,FALSE),0)</f>
        <v>0</v>
      </c>
      <c r="P61" s="202">
        <f>IFERROR(VLOOKUP($D$5:$D$260,List1!$AB$5:$AC$244,2,FALSE),0)</f>
        <v>0</v>
      </c>
      <c r="Q61" s="201">
        <f>IFERROR(VLOOKUP($D$5:$D$260,List1!$S$5:$T$231,2,FALSE),0)</f>
        <v>1437838</v>
      </c>
      <c r="R61" s="41">
        <v>0</v>
      </c>
      <c r="S61" s="41">
        <f>IFERROR(VLOOKUP($D$5:$D$260,List1!$AE$5:$AF$231,2,FALSE),0)</f>
        <v>400000</v>
      </c>
      <c r="T61" s="41">
        <f t="shared" si="3"/>
        <v>1837838</v>
      </c>
      <c r="U61" s="41">
        <f>IFERROR(VLOOKUP(D61,List1!$P$5:$Q$110,2,FALSE),"0")</f>
        <v>151000</v>
      </c>
      <c r="V61" s="41">
        <v>0</v>
      </c>
      <c r="W61" s="248">
        <v>0</v>
      </c>
      <c r="X61" s="211">
        <f t="shared" si="4"/>
        <v>1988838</v>
      </c>
      <c r="Y61" s="219"/>
      <c r="Z61" s="80">
        <f>IFERROR(VLOOKUP($D$5:$D$260,#REF!,3,FALSE),0)</f>
        <v>0</v>
      </c>
      <c r="AA61" s="80">
        <f>IFERROR(VLOOKUP($D$5:$D$260,#REF!,3,FALSE),0)</f>
        <v>0</v>
      </c>
      <c r="AB61" s="243">
        <v>0</v>
      </c>
      <c r="AC61" s="202">
        <f t="shared" si="5"/>
        <v>0</v>
      </c>
      <c r="AD61" s="259">
        <f t="shared" si="6"/>
        <v>-151000</v>
      </c>
      <c r="AE61" s="260">
        <f t="shared" si="7"/>
        <v>-1</v>
      </c>
      <c r="AF61" s="260">
        <f t="shared" si="8"/>
        <v>-1</v>
      </c>
      <c r="AG61" s="260">
        <f t="shared" si="9"/>
        <v>-1</v>
      </c>
    </row>
    <row r="62" spans="1:592" s="13" customFormat="1" x14ac:dyDescent="0.2">
      <c r="A62" s="10" t="s">
        <v>166</v>
      </c>
      <c r="B62" s="11">
        <v>40233189</v>
      </c>
      <c r="C62" s="11" t="s">
        <v>288</v>
      </c>
      <c r="D62" s="11">
        <v>5231429</v>
      </c>
      <c r="E62" s="225" t="s">
        <v>325</v>
      </c>
      <c r="F62" s="192" t="s">
        <v>294</v>
      </c>
      <c r="G62" s="201">
        <f>IFERROR(VLOOKUP(D62,List1!$A$5:$B$227,2,FALSE),"0")</f>
        <v>3992000</v>
      </c>
      <c r="H62" s="41" t="str">
        <f>IFERROR(VLOOKUP(D62,List1!$D$5:$E$41,2,FALSE),"0")</f>
        <v>0</v>
      </c>
      <c r="I62" s="41">
        <f>IFERROR(VLOOKUP(D62,List1!$G$5:$H$227,2,FALSE),"0")</f>
        <v>960496</v>
      </c>
      <c r="J62" s="40">
        <f t="shared" si="2"/>
        <v>4952496</v>
      </c>
      <c r="K62" s="41">
        <f>IFERROR(VLOOKUP(D62,List1!$J$5:$K$227,2,FALSE),"0")</f>
        <v>227000</v>
      </c>
      <c r="L62" s="41">
        <f>IFERROR(VLOOKUP(D62,List1!$M$5:$N$112,2,FALSE),"0")</f>
        <v>95000</v>
      </c>
      <c r="M62" s="43">
        <v>0</v>
      </c>
      <c r="N62" s="80">
        <f>VLOOKUP($D$5:$D$251,List2!$A$2:$B$241,2,FALSE)</f>
        <v>257670</v>
      </c>
      <c r="O62" s="80">
        <f>IFERROR(VLOOKUP($D$5:$D$260,List1!$Y$5:$Z$244,2,FALSE),0)</f>
        <v>0</v>
      </c>
      <c r="P62" s="202">
        <f>IFERROR(VLOOKUP($D$5:$D$260,List1!$AB$5:$AC$244,2,FALSE),0)</f>
        <v>0</v>
      </c>
      <c r="Q62" s="201">
        <f>IFERROR(VLOOKUP($D$5:$D$260,List1!$S$5:$T$231,2,FALSE),0)</f>
        <v>4654394</v>
      </c>
      <c r="R62" s="41">
        <v>0</v>
      </c>
      <c r="S62" s="41">
        <f>IFERROR(VLOOKUP($D$5:$D$260,List1!$AE$5:$AF$231,2,FALSE),0)</f>
        <v>900000</v>
      </c>
      <c r="T62" s="41">
        <f t="shared" si="3"/>
        <v>5554394</v>
      </c>
      <c r="U62" s="41">
        <f>IFERROR(VLOOKUP(D62,List1!$P$5:$Q$110,2,FALSE),"0")</f>
        <v>490000</v>
      </c>
      <c r="V62" s="41">
        <v>0</v>
      </c>
      <c r="W62" s="248">
        <v>0</v>
      </c>
      <c r="X62" s="211">
        <f t="shared" si="4"/>
        <v>6044394</v>
      </c>
      <c r="Y62" s="219"/>
      <c r="Z62" s="80">
        <f>IFERROR(VLOOKUP($D$5:$D$260,#REF!,3,FALSE),0)</f>
        <v>0</v>
      </c>
      <c r="AA62" s="80">
        <f>IFERROR(VLOOKUP($D$5:$D$260,#REF!,3,FALSE),0)</f>
        <v>0</v>
      </c>
      <c r="AB62" s="243">
        <v>0</v>
      </c>
      <c r="AC62" s="202">
        <f t="shared" si="5"/>
        <v>0</v>
      </c>
      <c r="AD62" s="259">
        <f t="shared" si="6"/>
        <v>-490000</v>
      </c>
      <c r="AE62" s="260">
        <f t="shared" si="7"/>
        <v>-1</v>
      </c>
      <c r="AF62" s="260">
        <f t="shared" si="8"/>
        <v>-1</v>
      </c>
      <c r="AG62" s="260">
        <f t="shared" si="9"/>
        <v>-1</v>
      </c>
    </row>
    <row r="63" spans="1:592" s="25" customFormat="1" ht="31.5" x14ac:dyDescent="0.2">
      <c r="A63" s="10" t="s">
        <v>339</v>
      </c>
      <c r="B63" s="11">
        <v>43464343</v>
      </c>
      <c r="C63" s="11" t="s">
        <v>340</v>
      </c>
      <c r="D63" s="11">
        <v>3148048</v>
      </c>
      <c r="E63" s="228" t="s">
        <v>314</v>
      </c>
      <c r="F63" s="192" t="s">
        <v>300</v>
      </c>
      <c r="G63" s="201">
        <f>IFERROR(VLOOKUP(D63,List1!$A$5:$B$227,2,FALSE),"0")</f>
        <v>1146000</v>
      </c>
      <c r="H63" s="41" t="str">
        <f>IFERROR(VLOOKUP(D63,List1!$D$5:$E$41,2,FALSE),"0")</f>
        <v>0</v>
      </c>
      <c r="I63" s="41">
        <f>IFERROR(VLOOKUP(D63,List1!$G$5:$H$227,2,FALSE),"0")</f>
        <v>164160</v>
      </c>
      <c r="J63" s="40">
        <f t="shared" si="2"/>
        <v>1310160</v>
      </c>
      <c r="K63" s="41">
        <f>IFERROR(VLOOKUP(D63,List1!$J$5:$K$227,2,FALSE),"0")</f>
        <v>64000</v>
      </c>
      <c r="L63" s="41" t="str">
        <f>IFERROR(VLOOKUP(D63,List1!$M$5:$N$112,2,FALSE),"0")</f>
        <v>0</v>
      </c>
      <c r="M63" s="43">
        <v>0</v>
      </c>
      <c r="N63" s="80">
        <f>VLOOKUP($D$5:$D$251,List2!$A$2:$B$241,2,FALSE)</f>
        <v>200000</v>
      </c>
      <c r="O63" s="80">
        <f>IFERROR(VLOOKUP($D$5:$D$260,List1!$Y$5:$Z$244,2,FALSE),0)</f>
        <v>0</v>
      </c>
      <c r="P63" s="202">
        <f>IFERROR(VLOOKUP($D$5:$D$260,List1!$AB$5:$AC$244,2,FALSE),0)</f>
        <v>0</v>
      </c>
      <c r="Q63" s="201">
        <f>IFERROR(VLOOKUP($D$5:$D$260,List1!$S$5:$T$231,2,FALSE),0)</f>
        <v>1410188</v>
      </c>
      <c r="R63" s="41">
        <v>0</v>
      </c>
      <c r="S63" s="45">
        <f>IFERROR(VLOOKUP($D$5:$D$260,List1!$AE$5:$AF$231,2,FALSE),0)-400000</f>
        <v>0</v>
      </c>
      <c r="T63" s="41">
        <f t="shared" si="3"/>
        <v>1410188</v>
      </c>
      <c r="U63" s="41" t="str">
        <f>IFERROR(VLOOKUP(D63,List1!$P$5:$Q$110,2,FALSE),"0")</f>
        <v>0</v>
      </c>
      <c r="V63" s="41">
        <v>0</v>
      </c>
      <c r="W63" s="248">
        <v>0</v>
      </c>
      <c r="X63" s="211">
        <f t="shared" si="4"/>
        <v>1410188</v>
      </c>
      <c r="Y63" s="219"/>
      <c r="Z63" s="80">
        <f>IFERROR(VLOOKUP($D$5:$D$260,#REF!,3,FALSE),0)</f>
        <v>0</v>
      </c>
      <c r="AA63" s="80">
        <f>IFERROR(VLOOKUP($D$5:$D$260,#REF!,3,FALSE),0)</f>
        <v>0</v>
      </c>
      <c r="AB63" s="243">
        <v>0</v>
      </c>
      <c r="AC63" s="202">
        <f t="shared" si="5"/>
        <v>0</v>
      </c>
      <c r="AD63" s="259">
        <f t="shared" si="6"/>
        <v>0</v>
      </c>
      <c r="AE63" s="260">
        <f t="shared" si="7"/>
        <v>0</v>
      </c>
      <c r="AF63" s="260">
        <f t="shared" si="8"/>
        <v>0</v>
      </c>
      <c r="AG63" s="260">
        <f t="shared" si="9"/>
        <v>0</v>
      </c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/>
      <c r="JL63" s="13"/>
      <c r="JM63" s="13"/>
      <c r="JN63" s="13"/>
      <c r="JO63" s="13"/>
      <c r="JP63" s="13"/>
      <c r="JQ63" s="13"/>
      <c r="JR63" s="13"/>
      <c r="JS63" s="13"/>
      <c r="JT63" s="13"/>
      <c r="JU63" s="13"/>
      <c r="JV63" s="13"/>
      <c r="JW63" s="13"/>
      <c r="JX63" s="13"/>
      <c r="JY63" s="13"/>
      <c r="JZ63" s="13"/>
      <c r="KA63" s="13"/>
      <c r="KB63" s="13"/>
      <c r="KC63" s="13"/>
      <c r="KD63" s="13"/>
      <c r="KE63" s="13"/>
      <c r="KF63" s="13"/>
      <c r="KG63" s="13"/>
      <c r="KH63" s="13"/>
      <c r="KI63" s="13"/>
      <c r="KJ63" s="13"/>
      <c r="KK63" s="13"/>
      <c r="KL63" s="13"/>
      <c r="KM63" s="13"/>
      <c r="KN63" s="13"/>
      <c r="KO63" s="13"/>
      <c r="KP63" s="13"/>
      <c r="KQ63" s="13"/>
      <c r="KR63" s="13"/>
      <c r="KS63" s="13"/>
      <c r="KT63" s="13"/>
      <c r="KU63" s="13"/>
      <c r="KV63" s="13"/>
      <c r="KW63" s="13"/>
      <c r="KX63" s="13"/>
      <c r="KY63" s="13"/>
      <c r="KZ63" s="13"/>
      <c r="LA63" s="13"/>
      <c r="LB63" s="13"/>
      <c r="LC63" s="13"/>
      <c r="LD63" s="13"/>
      <c r="LE63" s="13"/>
      <c r="LF63" s="13"/>
      <c r="LG63" s="13"/>
      <c r="LH63" s="13"/>
      <c r="LI63" s="13"/>
      <c r="LJ63" s="13"/>
      <c r="LK63" s="13"/>
      <c r="LL63" s="13"/>
      <c r="LM63" s="13"/>
      <c r="LN63" s="13"/>
      <c r="LO63" s="13"/>
      <c r="LP63" s="13"/>
      <c r="LQ63" s="13"/>
      <c r="LR63" s="13"/>
      <c r="LS63" s="13"/>
      <c r="LT63" s="13"/>
      <c r="LU63" s="13"/>
      <c r="LV63" s="13"/>
      <c r="LW63" s="13"/>
      <c r="LX63" s="13"/>
      <c r="LY63" s="13"/>
      <c r="LZ63" s="13"/>
      <c r="MA63" s="13"/>
      <c r="MB63" s="13"/>
      <c r="MC63" s="13"/>
      <c r="MD63" s="13"/>
      <c r="ME63" s="13"/>
      <c r="MF63" s="13"/>
      <c r="MG63" s="13"/>
      <c r="MH63" s="13"/>
      <c r="MI63" s="13"/>
      <c r="MJ63" s="13"/>
      <c r="MK63" s="13"/>
      <c r="ML63" s="13"/>
      <c r="MM63" s="13"/>
      <c r="MN63" s="13"/>
      <c r="MO63" s="13"/>
      <c r="MP63" s="13"/>
      <c r="MQ63" s="13"/>
      <c r="MR63" s="13"/>
      <c r="MS63" s="13"/>
      <c r="MT63" s="13"/>
      <c r="MU63" s="13"/>
      <c r="MV63" s="13"/>
      <c r="MW63" s="13"/>
      <c r="MX63" s="13"/>
      <c r="MY63" s="13"/>
      <c r="MZ63" s="13"/>
      <c r="NA63" s="13"/>
      <c r="NB63" s="13"/>
      <c r="NC63" s="13"/>
      <c r="ND63" s="13"/>
      <c r="NE63" s="13"/>
      <c r="NF63" s="13"/>
      <c r="NG63" s="13"/>
      <c r="NH63" s="13"/>
      <c r="NI63" s="13"/>
      <c r="NJ63" s="13"/>
      <c r="NK63" s="13"/>
      <c r="NL63" s="13"/>
      <c r="NM63" s="13"/>
      <c r="NN63" s="13"/>
      <c r="NO63" s="13"/>
      <c r="NP63" s="13"/>
      <c r="NQ63" s="13"/>
      <c r="NR63" s="13"/>
      <c r="NS63" s="13"/>
      <c r="NT63" s="13"/>
      <c r="NU63" s="13"/>
      <c r="NV63" s="13"/>
      <c r="NW63" s="13"/>
      <c r="NX63" s="13"/>
      <c r="NY63" s="13"/>
      <c r="NZ63" s="13"/>
      <c r="OA63" s="13"/>
      <c r="OB63" s="13"/>
      <c r="OC63" s="13"/>
      <c r="OD63" s="13"/>
      <c r="OE63" s="13"/>
      <c r="OF63" s="13"/>
      <c r="OG63" s="13"/>
      <c r="OH63" s="13"/>
      <c r="OI63" s="13"/>
      <c r="OJ63" s="13"/>
      <c r="OK63" s="13"/>
      <c r="OL63" s="13"/>
      <c r="OM63" s="13"/>
      <c r="ON63" s="13"/>
      <c r="OO63" s="13"/>
      <c r="OP63" s="13"/>
      <c r="OQ63" s="13"/>
      <c r="OR63" s="13"/>
      <c r="OS63" s="13"/>
      <c r="OT63" s="13"/>
      <c r="OU63" s="13"/>
      <c r="OV63" s="13"/>
      <c r="OW63" s="13"/>
      <c r="OX63" s="13"/>
      <c r="OY63" s="13"/>
      <c r="OZ63" s="13"/>
      <c r="PA63" s="13"/>
      <c r="PB63" s="13"/>
      <c r="PC63" s="13"/>
      <c r="PD63" s="13"/>
      <c r="PE63" s="13"/>
      <c r="PF63" s="13"/>
      <c r="PG63" s="13"/>
      <c r="PH63" s="13"/>
      <c r="PI63" s="13"/>
      <c r="PJ63" s="13"/>
      <c r="PK63" s="13"/>
      <c r="PL63" s="13"/>
      <c r="PM63" s="13"/>
      <c r="PN63" s="13"/>
      <c r="PO63" s="13"/>
      <c r="PP63" s="13"/>
      <c r="PQ63" s="13"/>
      <c r="PR63" s="13"/>
      <c r="PS63" s="13"/>
      <c r="PT63" s="13"/>
      <c r="PU63" s="13"/>
      <c r="PV63" s="13"/>
      <c r="PW63" s="13"/>
      <c r="PX63" s="13"/>
      <c r="PY63" s="13"/>
      <c r="PZ63" s="13"/>
      <c r="QA63" s="13"/>
      <c r="QB63" s="13"/>
      <c r="QC63" s="13"/>
      <c r="QD63" s="13"/>
      <c r="QE63" s="13"/>
      <c r="QF63" s="13"/>
      <c r="QG63" s="13"/>
      <c r="QH63" s="13"/>
      <c r="QI63" s="13"/>
      <c r="QJ63" s="13"/>
      <c r="QK63" s="13"/>
      <c r="QL63" s="13"/>
      <c r="QM63" s="13"/>
      <c r="QN63" s="13"/>
      <c r="QO63" s="13"/>
      <c r="QP63" s="13"/>
      <c r="QQ63" s="13"/>
      <c r="QR63" s="13"/>
      <c r="QS63" s="13"/>
      <c r="QT63" s="13"/>
      <c r="QU63" s="13"/>
      <c r="QV63" s="13"/>
      <c r="QW63" s="13"/>
      <c r="QX63" s="13"/>
      <c r="QY63" s="13"/>
      <c r="QZ63" s="13"/>
      <c r="RA63" s="13"/>
      <c r="RB63" s="13"/>
      <c r="RC63" s="13"/>
      <c r="RD63" s="13"/>
      <c r="RE63" s="13"/>
      <c r="RF63" s="13"/>
      <c r="RG63" s="13"/>
      <c r="RH63" s="13"/>
      <c r="RI63" s="13"/>
      <c r="RJ63" s="13"/>
      <c r="RK63" s="13"/>
      <c r="RL63" s="13"/>
      <c r="RM63" s="13"/>
      <c r="RN63" s="13"/>
      <c r="RO63" s="13"/>
      <c r="RP63" s="13"/>
      <c r="RQ63" s="13"/>
      <c r="RR63" s="13"/>
      <c r="RS63" s="13"/>
      <c r="RT63" s="13"/>
      <c r="RU63" s="13"/>
      <c r="RV63" s="13"/>
      <c r="RW63" s="13"/>
      <c r="RX63" s="13"/>
      <c r="RY63" s="13"/>
      <c r="RZ63" s="13"/>
      <c r="SA63" s="13"/>
      <c r="SB63" s="13"/>
      <c r="SC63" s="13"/>
      <c r="SD63" s="13"/>
      <c r="SE63" s="13"/>
      <c r="SF63" s="13"/>
      <c r="SG63" s="13"/>
      <c r="SH63" s="13"/>
      <c r="SI63" s="13"/>
      <c r="SJ63" s="13"/>
      <c r="SK63" s="13"/>
      <c r="SL63" s="13"/>
      <c r="SM63" s="13"/>
      <c r="SN63" s="13"/>
      <c r="SO63" s="13"/>
      <c r="SP63" s="13"/>
      <c r="SQ63" s="13"/>
      <c r="SR63" s="13"/>
      <c r="SS63" s="13"/>
      <c r="ST63" s="13"/>
      <c r="SU63" s="13"/>
      <c r="SV63" s="13"/>
      <c r="SW63" s="13"/>
      <c r="SX63" s="13"/>
      <c r="SY63" s="13"/>
      <c r="SZ63" s="13"/>
      <c r="TA63" s="13"/>
      <c r="TB63" s="13"/>
      <c r="TC63" s="13"/>
      <c r="TD63" s="13"/>
      <c r="TE63" s="13"/>
      <c r="TF63" s="13"/>
      <c r="TG63" s="13"/>
      <c r="TH63" s="13"/>
      <c r="TI63" s="13"/>
      <c r="TJ63" s="13"/>
      <c r="TK63" s="13"/>
      <c r="TL63" s="13"/>
      <c r="TM63" s="13"/>
      <c r="TN63" s="13"/>
      <c r="TO63" s="13"/>
      <c r="TP63" s="13"/>
      <c r="TQ63" s="13"/>
      <c r="TR63" s="13"/>
      <c r="TS63" s="13"/>
      <c r="TT63" s="13"/>
      <c r="TU63" s="13"/>
      <c r="TV63" s="13"/>
      <c r="TW63" s="13"/>
      <c r="TX63" s="13"/>
      <c r="TY63" s="13"/>
      <c r="TZ63" s="13"/>
      <c r="UA63" s="13"/>
      <c r="UB63" s="13"/>
      <c r="UC63" s="13"/>
      <c r="UD63" s="13"/>
      <c r="UE63" s="13"/>
      <c r="UF63" s="13"/>
      <c r="UG63" s="13"/>
      <c r="UH63" s="13"/>
      <c r="UI63" s="13"/>
      <c r="UJ63" s="13"/>
      <c r="UK63" s="13"/>
      <c r="UL63" s="13"/>
      <c r="UM63" s="13"/>
      <c r="UN63" s="13"/>
      <c r="UO63" s="13"/>
      <c r="UP63" s="13"/>
      <c r="UQ63" s="13"/>
      <c r="UR63" s="13"/>
      <c r="US63" s="13"/>
      <c r="UT63" s="13"/>
      <c r="UU63" s="13"/>
      <c r="UV63" s="13"/>
      <c r="UW63" s="13"/>
      <c r="UX63" s="13"/>
      <c r="UY63" s="13"/>
      <c r="UZ63" s="13"/>
      <c r="VA63" s="13"/>
      <c r="VB63" s="13"/>
      <c r="VC63" s="13"/>
      <c r="VD63" s="13"/>
      <c r="VE63" s="13"/>
      <c r="VF63" s="13"/>
      <c r="VG63" s="13"/>
      <c r="VH63" s="13"/>
      <c r="VI63" s="13"/>
      <c r="VJ63" s="13"/>
      <c r="VK63" s="13"/>
      <c r="VL63" s="13"/>
      <c r="VM63" s="13"/>
      <c r="VN63" s="13"/>
      <c r="VO63" s="13"/>
      <c r="VP63" s="13"/>
      <c r="VQ63" s="13"/>
      <c r="VR63" s="13"/>
      <c r="VS63" s="13"/>
      <c r="VT63" s="13"/>
    </row>
    <row r="64" spans="1:592" s="13" customFormat="1" ht="31.5" x14ac:dyDescent="0.2">
      <c r="A64" s="10" t="s">
        <v>341</v>
      </c>
      <c r="B64" s="11">
        <v>73633992</v>
      </c>
      <c r="C64" s="11" t="s">
        <v>340</v>
      </c>
      <c r="D64" s="11">
        <v>5741111</v>
      </c>
      <c r="E64" s="225" t="s">
        <v>325</v>
      </c>
      <c r="F64" s="192" t="s">
        <v>294</v>
      </c>
      <c r="G64" s="201">
        <f>IFERROR(VLOOKUP(D64,List1!$A$5:$B$227,2,FALSE),"0")</f>
        <v>2868000</v>
      </c>
      <c r="H64" s="41" t="str">
        <f>IFERROR(VLOOKUP(D64,List1!$D$5:$E$41,2,FALSE),"0")</f>
        <v>0</v>
      </c>
      <c r="I64" s="41">
        <f>IFERROR(VLOOKUP(D64,List1!$G$5:$H$227,2,FALSE),"0")</f>
        <v>184842</v>
      </c>
      <c r="J64" s="40">
        <f t="shared" si="2"/>
        <v>3052842</v>
      </c>
      <c r="K64" s="41">
        <f>IFERROR(VLOOKUP(D64,List1!$J$5:$K$227,2,FALSE),"0")</f>
        <v>160000</v>
      </c>
      <c r="L64" s="41">
        <f>IFERROR(VLOOKUP(D64,List1!$M$5:$N$112,2,FALSE),"0")</f>
        <v>67000</v>
      </c>
      <c r="M64" s="43">
        <v>0</v>
      </c>
      <c r="N64" s="80">
        <f>VLOOKUP($D$5:$D$251,List2!$A$2:$B$241,2,FALSE)</f>
        <v>1236542</v>
      </c>
      <c r="O64" s="80">
        <f>IFERROR(VLOOKUP($D$5:$D$260,List1!$Y$5:$Z$244,2,FALSE),0)</f>
        <v>0</v>
      </c>
      <c r="P64" s="202">
        <f>IFERROR(VLOOKUP($D$5:$D$260,List1!$AB$5:$AC$244,2,FALSE),0)</f>
        <v>0</v>
      </c>
      <c r="Q64" s="201">
        <f>IFERROR(VLOOKUP($D$5:$D$260,List1!$S$5:$T$231,2,FALSE),0)</f>
        <v>3097958</v>
      </c>
      <c r="R64" s="41">
        <v>0</v>
      </c>
      <c r="S64" s="41">
        <f>IFERROR(VLOOKUP($D$5:$D$260,List1!$AE$5:$AF$231,2,FALSE),0)</f>
        <v>600000</v>
      </c>
      <c r="T64" s="41">
        <f t="shared" si="3"/>
        <v>3697958</v>
      </c>
      <c r="U64" s="41">
        <f>IFERROR(VLOOKUP(D64,List1!$P$5:$Q$110,2,FALSE),"0")</f>
        <v>490000</v>
      </c>
      <c r="V64" s="41">
        <v>0</v>
      </c>
      <c r="W64" s="248">
        <v>0</v>
      </c>
      <c r="X64" s="211">
        <f t="shared" si="4"/>
        <v>4187958</v>
      </c>
      <c r="Y64" s="219"/>
      <c r="Z64" s="80">
        <f>IFERROR(VLOOKUP($D$5:$D$260,#REF!,3,FALSE),0)</f>
        <v>0</v>
      </c>
      <c r="AA64" s="80">
        <f>IFERROR(VLOOKUP($D$5:$D$260,#REF!,3,FALSE),0)</f>
        <v>0</v>
      </c>
      <c r="AB64" s="243">
        <v>0</v>
      </c>
      <c r="AC64" s="202">
        <f t="shared" si="5"/>
        <v>0</v>
      </c>
      <c r="AD64" s="259">
        <f t="shared" si="6"/>
        <v>-490000</v>
      </c>
      <c r="AE64" s="260">
        <f t="shared" si="7"/>
        <v>-1</v>
      </c>
      <c r="AF64" s="260">
        <f t="shared" si="8"/>
        <v>-1</v>
      </c>
      <c r="AG64" s="260">
        <f t="shared" si="9"/>
        <v>-1</v>
      </c>
    </row>
    <row r="65" spans="1:592" s="13" customFormat="1" ht="31.5" x14ac:dyDescent="0.2">
      <c r="A65" s="10" t="s">
        <v>341</v>
      </c>
      <c r="B65" s="11">
        <v>73633992</v>
      </c>
      <c r="C65" s="11" t="s">
        <v>340</v>
      </c>
      <c r="D65" s="11">
        <v>3428319</v>
      </c>
      <c r="E65" s="228" t="s">
        <v>330</v>
      </c>
      <c r="F65" s="192" t="s">
        <v>300</v>
      </c>
      <c r="G65" s="201">
        <f>IFERROR(VLOOKUP(D65,List1!$A$5:$B$227,2,FALSE),"0")</f>
        <v>2147000</v>
      </c>
      <c r="H65" s="41" t="str">
        <f>IFERROR(VLOOKUP(D65,List1!$D$5:$E$41,2,FALSE),"0")</f>
        <v>0</v>
      </c>
      <c r="I65" s="41">
        <f>IFERROR(VLOOKUP(D65,List1!$G$5:$H$227,2,FALSE),"0")</f>
        <v>100000</v>
      </c>
      <c r="J65" s="40">
        <f t="shared" si="2"/>
        <v>2247000</v>
      </c>
      <c r="K65" s="41">
        <f>IFERROR(VLOOKUP(D65,List1!$J$5:$K$227,2,FALSE),"0")</f>
        <v>107000</v>
      </c>
      <c r="L65" s="41">
        <f>IFERROR(VLOOKUP(D65,List1!$M$5:$N$112,2,FALSE),"0")</f>
        <v>45000</v>
      </c>
      <c r="M65" s="43">
        <v>0</v>
      </c>
      <c r="N65" s="80">
        <f>VLOOKUP($D$5:$D$251,List2!$A$2:$B$241,2,FALSE)</f>
        <v>1106006</v>
      </c>
      <c r="O65" s="80">
        <f>IFERROR(VLOOKUP($D$5:$D$260,List1!$Y$5:$Z$244,2,FALSE),0)</f>
        <v>0</v>
      </c>
      <c r="P65" s="202">
        <f>IFERROR(VLOOKUP($D$5:$D$260,List1!$AB$5:$AC$244,2,FALSE),0)</f>
        <v>0</v>
      </c>
      <c r="Q65" s="201">
        <f>IFERROR(VLOOKUP($D$5:$D$260,List1!$S$5:$T$231,2,FALSE),0)</f>
        <v>2073805</v>
      </c>
      <c r="R65" s="41">
        <v>0</v>
      </c>
      <c r="S65" s="41">
        <f>IFERROR(VLOOKUP($D$5:$D$260,List1!$AE$5:$AF$231,2,FALSE),0)</f>
        <v>600000</v>
      </c>
      <c r="T65" s="41">
        <f t="shared" si="3"/>
        <v>2673805</v>
      </c>
      <c r="U65" s="41">
        <f>IFERROR(VLOOKUP(D65,List1!$P$5:$Q$110,2,FALSE),"0")</f>
        <v>290000</v>
      </c>
      <c r="V65" s="41">
        <v>0</v>
      </c>
      <c r="W65" s="248">
        <v>0</v>
      </c>
      <c r="X65" s="211">
        <f t="shared" si="4"/>
        <v>2963805</v>
      </c>
      <c r="Y65" s="219"/>
      <c r="Z65" s="80">
        <f>IFERROR(VLOOKUP($D$5:$D$260,#REF!,3,FALSE),0)</f>
        <v>0</v>
      </c>
      <c r="AA65" s="80">
        <f>IFERROR(VLOOKUP($D$5:$D$260,#REF!,3,FALSE),0)</f>
        <v>0</v>
      </c>
      <c r="AB65" s="243">
        <v>0</v>
      </c>
      <c r="AC65" s="202">
        <f t="shared" si="5"/>
        <v>0</v>
      </c>
      <c r="AD65" s="259">
        <f t="shared" si="6"/>
        <v>-290000</v>
      </c>
      <c r="AE65" s="260">
        <f t="shared" si="7"/>
        <v>-1</v>
      </c>
      <c r="AF65" s="260">
        <f t="shared" si="8"/>
        <v>-1</v>
      </c>
      <c r="AG65" s="260">
        <f t="shared" si="9"/>
        <v>-1</v>
      </c>
    </row>
    <row r="66" spans="1:592" s="13" customFormat="1" ht="31.5" x14ac:dyDescent="0.2">
      <c r="A66" s="10" t="s">
        <v>341</v>
      </c>
      <c r="B66" s="11">
        <v>73633992</v>
      </c>
      <c r="C66" s="11" t="s">
        <v>340</v>
      </c>
      <c r="D66" s="11">
        <v>8492814</v>
      </c>
      <c r="E66" s="228" t="s">
        <v>330</v>
      </c>
      <c r="F66" s="192" t="s">
        <v>300</v>
      </c>
      <c r="G66" s="201">
        <f>IFERROR(VLOOKUP(D66,List1!$A$5:$B$227,2,FALSE),"0")</f>
        <v>1289000</v>
      </c>
      <c r="H66" s="41" t="str">
        <f>IFERROR(VLOOKUP(D66,List1!$D$5:$E$41,2,FALSE),"0")</f>
        <v>0</v>
      </c>
      <c r="I66" s="41">
        <f>IFERROR(VLOOKUP(D66,List1!$G$5:$H$227,2,FALSE),"0")</f>
        <v>241135</v>
      </c>
      <c r="J66" s="40">
        <f t="shared" si="2"/>
        <v>1530135</v>
      </c>
      <c r="K66" s="41">
        <f>IFERROR(VLOOKUP(D66,List1!$J$5:$K$227,2,FALSE),"0")</f>
        <v>64000</v>
      </c>
      <c r="L66" s="41">
        <f>IFERROR(VLOOKUP(D66,List1!$M$5:$N$112,2,FALSE),"0")</f>
        <v>27000</v>
      </c>
      <c r="M66" s="43">
        <v>0</v>
      </c>
      <c r="N66" s="80">
        <f>VLOOKUP($D$5:$D$251,List2!$A$2:$B$241,2,FALSE)</f>
        <v>217929</v>
      </c>
      <c r="O66" s="80">
        <f>IFERROR(VLOOKUP($D$5:$D$260,List1!$Y$5:$Z$244,2,FALSE),0)</f>
        <v>0</v>
      </c>
      <c r="P66" s="202">
        <f>IFERROR(VLOOKUP($D$5:$D$260,List1!$AB$5:$AC$244,2,FALSE),0)</f>
        <v>0</v>
      </c>
      <c r="Q66" s="201">
        <f>IFERROR(VLOOKUP($D$5:$D$260,List1!$S$5:$T$231,2,FALSE),0)</f>
        <v>1244283</v>
      </c>
      <c r="R66" s="41">
        <v>0</v>
      </c>
      <c r="S66" s="41">
        <f>IFERROR(VLOOKUP($D$5:$D$260,List1!$AE$5:$AF$231,2,FALSE),0)</f>
        <v>350000</v>
      </c>
      <c r="T66" s="41">
        <f t="shared" si="3"/>
        <v>1594283</v>
      </c>
      <c r="U66" s="41">
        <f>IFERROR(VLOOKUP(D66,List1!$P$5:$Q$110,2,FALSE),"0")</f>
        <v>174000</v>
      </c>
      <c r="V66" s="41">
        <v>0</v>
      </c>
      <c r="W66" s="248">
        <v>0</v>
      </c>
      <c r="X66" s="211">
        <f t="shared" si="4"/>
        <v>1768283</v>
      </c>
      <c r="Y66" s="219"/>
      <c r="Z66" s="80">
        <f>IFERROR(VLOOKUP($D$5:$D$260,#REF!,3,FALSE),0)</f>
        <v>0</v>
      </c>
      <c r="AA66" s="80">
        <f>IFERROR(VLOOKUP($D$5:$D$260,#REF!,3,FALSE),0)</f>
        <v>0</v>
      </c>
      <c r="AB66" s="243">
        <v>0</v>
      </c>
      <c r="AC66" s="202">
        <f t="shared" si="5"/>
        <v>0</v>
      </c>
      <c r="AD66" s="259">
        <f t="shared" si="6"/>
        <v>-174000</v>
      </c>
      <c r="AE66" s="260">
        <f t="shared" si="7"/>
        <v>-1</v>
      </c>
      <c r="AF66" s="260">
        <f t="shared" si="8"/>
        <v>-1</v>
      </c>
      <c r="AG66" s="260">
        <f t="shared" si="9"/>
        <v>-1</v>
      </c>
    </row>
    <row r="67" spans="1:592" s="13" customFormat="1" ht="31.5" x14ac:dyDescent="0.2">
      <c r="A67" s="10" t="s">
        <v>341</v>
      </c>
      <c r="B67" s="11">
        <v>73633992</v>
      </c>
      <c r="C67" s="11" t="s">
        <v>340</v>
      </c>
      <c r="D67" s="11">
        <v>7080749</v>
      </c>
      <c r="E67" s="228" t="s">
        <v>314</v>
      </c>
      <c r="F67" s="192" t="s">
        <v>294</v>
      </c>
      <c r="G67" s="201">
        <f>IFERROR(VLOOKUP(D67,List1!$A$5:$B$227,2,FALSE),"0")</f>
        <v>1852000</v>
      </c>
      <c r="H67" s="41" t="str">
        <f>IFERROR(VLOOKUP(D67,List1!$D$5:$E$41,2,FALSE),"0")</f>
        <v>0</v>
      </c>
      <c r="I67" s="41" t="str">
        <f>IFERROR(VLOOKUP(D67,List1!$G$5:$H$227,2,FALSE),"0")</f>
        <v>0</v>
      </c>
      <c r="J67" s="40">
        <f t="shared" si="2"/>
        <v>1852000</v>
      </c>
      <c r="K67" s="41">
        <f>IFERROR(VLOOKUP(D67,List1!$J$5:$K$227,2,FALSE),"0")</f>
        <v>86000</v>
      </c>
      <c r="L67" s="41" t="str">
        <f>IFERROR(VLOOKUP(D67,List1!$M$5:$N$112,2,FALSE),"0")</f>
        <v>0</v>
      </c>
      <c r="M67" s="43">
        <v>0</v>
      </c>
      <c r="N67" s="80">
        <f>VLOOKUP($D$5:$D$251,List2!$A$2:$B$241,2,FALSE)</f>
        <v>977438</v>
      </c>
      <c r="O67" s="80">
        <f>IFERROR(VLOOKUP($D$5:$D$260,List1!$Y$5:$Z$244,2,FALSE),0)</f>
        <v>0</v>
      </c>
      <c r="P67" s="202">
        <f>IFERROR(VLOOKUP($D$5:$D$260,List1!$AB$5:$AC$244,2,FALSE),0)</f>
        <v>0</v>
      </c>
      <c r="Q67" s="201">
        <f>IFERROR(VLOOKUP($D$5:$D$260,List1!$S$5:$T$231,2,FALSE),0)</f>
        <v>1534078</v>
      </c>
      <c r="R67" s="41">
        <v>0</v>
      </c>
      <c r="S67" s="41">
        <f>IFERROR(VLOOKUP($D$5:$D$260,List1!$AE$5:$AF$231,2,FALSE),0)</f>
        <v>450000</v>
      </c>
      <c r="T67" s="41">
        <f t="shared" si="3"/>
        <v>1984078</v>
      </c>
      <c r="U67" s="41">
        <f>IFERROR(VLOOKUP(D67,List1!$P$5:$Q$110,2,FALSE),"0")</f>
        <v>232000</v>
      </c>
      <c r="V67" s="41">
        <v>0</v>
      </c>
      <c r="W67" s="248">
        <v>0</v>
      </c>
      <c r="X67" s="211">
        <f t="shared" si="4"/>
        <v>2216078</v>
      </c>
      <c r="Y67" s="219"/>
      <c r="Z67" s="80">
        <f>IFERROR(VLOOKUP($D$5:$D$260,#REF!,3,FALSE),0)</f>
        <v>0</v>
      </c>
      <c r="AA67" s="80">
        <f>IFERROR(VLOOKUP($D$5:$D$260,#REF!,3,FALSE),0)</f>
        <v>0</v>
      </c>
      <c r="AB67" s="243">
        <v>0</v>
      </c>
      <c r="AC67" s="202">
        <f t="shared" si="5"/>
        <v>0</v>
      </c>
      <c r="AD67" s="259">
        <f t="shared" si="6"/>
        <v>-232000</v>
      </c>
      <c r="AE67" s="260">
        <f t="shared" si="7"/>
        <v>-1</v>
      </c>
      <c r="AF67" s="260">
        <f t="shared" si="8"/>
        <v>-1</v>
      </c>
      <c r="AG67" s="260">
        <f t="shared" si="9"/>
        <v>-1</v>
      </c>
    </row>
    <row r="68" spans="1:592" s="13" customFormat="1" x14ac:dyDescent="0.2">
      <c r="A68" s="10" t="s">
        <v>342</v>
      </c>
      <c r="B68" s="11">
        <v>26591511</v>
      </c>
      <c r="C68" s="11" t="s">
        <v>288</v>
      </c>
      <c r="D68" s="11">
        <v>1372957</v>
      </c>
      <c r="E68" s="228" t="s">
        <v>343</v>
      </c>
      <c r="F68" s="192" t="s">
        <v>278</v>
      </c>
      <c r="G68" s="201" t="str">
        <f>IFERROR(VLOOKUP(D68,List1!$A$5:$B$227,2,FALSE),"0")</f>
        <v>0</v>
      </c>
      <c r="H68" s="41" t="str">
        <f>IFERROR(VLOOKUP(D68,List1!$D$5:$E$41,2,FALSE),"0")</f>
        <v>0</v>
      </c>
      <c r="I68" s="41" t="str">
        <f>IFERROR(VLOOKUP(D68,List1!$G$5:$H$227,2,FALSE),"0")</f>
        <v>0</v>
      </c>
      <c r="J68" s="40">
        <f t="shared" si="2"/>
        <v>0</v>
      </c>
      <c r="K68" s="160">
        <f>IFERROR(VLOOKUP(D68,List1!$J$5:$K$227,2,FALSE),"0")</f>
        <v>43000</v>
      </c>
      <c r="L68" s="41" t="str">
        <f>IFERROR(VLOOKUP(D68,List1!$M$5:$N$112,2,FALSE),"0")</f>
        <v>0</v>
      </c>
      <c r="M68" s="43">
        <v>0</v>
      </c>
      <c r="N68" s="80">
        <v>0</v>
      </c>
      <c r="O68" s="80">
        <f>IFERROR(VLOOKUP($D$5:$D$260,List1!$Y$5:$Z$244,2,FALSE),0)</f>
        <v>0</v>
      </c>
      <c r="P68" s="202">
        <f>IFERROR(VLOOKUP($D$5:$D$260,List1!$AB$5:$AC$244,2,FALSE),0)</f>
        <v>0</v>
      </c>
      <c r="Q68" s="201">
        <f>IFERROR(VLOOKUP($D$5:$D$260,List1!$S$5:$T$231,2,FALSE),0)</f>
        <v>0</v>
      </c>
      <c r="R68" s="41">
        <v>0</v>
      </c>
      <c r="S68" s="41">
        <f>IFERROR(VLOOKUP($D$5:$D$260,List1!$AE$5:$AF$231,2,FALSE),0)</f>
        <v>0</v>
      </c>
      <c r="T68" s="41">
        <f t="shared" si="3"/>
        <v>0</v>
      </c>
      <c r="U68" s="41" t="str">
        <f>IFERROR(VLOOKUP(D68,List1!$P$5:$Q$110,2,FALSE),"0")</f>
        <v>0</v>
      </c>
      <c r="V68" s="41">
        <v>0</v>
      </c>
      <c r="W68" s="248">
        <v>0</v>
      </c>
      <c r="X68" s="211">
        <f t="shared" si="4"/>
        <v>0</v>
      </c>
      <c r="Y68" s="219"/>
      <c r="Z68" s="80">
        <f>IFERROR(VLOOKUP($D$5:$D$260,#REF!,3,FALSE),0)</f>
        <v>0</v>
      </c>
      <c r="AA68" s="80">
        <f>IFERROR(VLOOKUP($D$5:$D$260,#REF!,3,FALSE),0)</f>
        <v>0</v>
      </c>
      <c r="AB68" s="243">
        <v>0</v>
      </c>
      <c r="AC68" s="202">
        <f t="shared" si="5"/>
        <v>0</v>
      </c>
      <c r="AD68" s="259">
        <f t="shared" si="6"/>
        <v>0</v>
      </c>
      <c r="AE68" s="260">
        <f t="shared" si="7"/>
        <v>0</v>
      </c>
      <c r="AF68" s="260">
        <f t="shared" si="8"/>
        <v>0</v>
      </c>
      <c r="AG68" s="260">
        <f t="shared" si="9"/>
        <v>0</v>
      </c>
    </row>
    <row r="69" spans="1:592" s="21" customFormat="1" ht="31.5" x14ac:dyDescent="0.2">
      <c r="A69" s="10" t="s">
        <v>88</v>
      </c>
      <c r="B69" s="11">
        <v>40229939</v>
      </c>
      <c r="C69" s="11" t="s">
        <v>340</v>
      </c>
      <c r="D69" s="11">
        <v>3632154</v>
      </c>
      <c r="E69" s="225" t="s">
        <v>325</v>
      </c>
      <c r="F69" s="192" t="s">
        <v>294</v>
      </c>
      <c r="G69" s="201">
        <f>IFERROR(VLOOKUP(D69,List1!$A$5:$B$227,2,FALSE),"0")</f>
        <v>1835000</v>
      </c>
      <c r="H69" s="41" t="str">
        <f>IFERROR(VLOOKUP(D69,List1!$D$5:$E$41,2,FALSE),"0")</f>
        <v>0</v>
      </c>
      <c r="I69" s="41">
        <f>IFERROR(VLOOKUP(D69,List1!$G$5:$H$227,2,FALSE),"0")</f>
        <v>152495</v>
      </c>
      <c r="J69" s="40">
        <f t="shared" si="2"/>
        <v>1987495</v>
      </c>
      <c r="K69" s="41">
        <f>IFERROR(VLOOKUP(D69,List1!$J$5:$K$227,2,FALSE),"0")</f>
        <v>118000</v>
      </c>
      <c r="L69" s="41">
        <f>IFERROR(VLOOKUP(D69,List1!$M$5:$N$112,2,FALSE),"0")</f>
        <v>49000</v>
      </c>
      <c r="M69" s="43">
        <v>0</v>
      </c>
      <c r="N69" s="80">
        <f>VLOOKUP($D$5:$D$251,List2!$A$2:$B$241,2,FALSE)</f>
        <v>244812</v>
      </c>
      <c r="O69" s="80">
        <f>IFERROR(VLOOKUP($D$5:$D$260,List1!$Y$5:$Z$244,2,FALSE),0)</f>
        <v>0</v>
      </c>
      <c r="P69" s="202">
        <f>IFERROR(VLOOKUP($D$5:$D$260,List1!$AB$5:$AC$244,2,FALSE),0)</f>
        <v>0</v>
      </c>
      <c r="Q69" s="201">
        <f>IFERROR(VLOOKUP($D$5:$D$260,List1!$S$5:$T$231,2,FALSE),0)</f>
        <v>2113181</v>
      </c>
      <c r="R69" s="41">
        <v>0</v>
      </c>
      <c r="S69" s="41">
        <f>IFERROR(VLOOKUP($D$5:$D$260,List1!$AE$5:$AF$231,2,FALSE),0)</f>
        <v>400000</v>
      </c>
      <c r="T69" s="41">
        <f t="shared" si="3"/>
        <v>2513181</v>
      </c>
      <c r="U69" s="41">
        <f>IFERROR(VLOOKUP(D69,List1!$P$5:$Q$110,2,FALSE),"0")</f>
        <v>377000</v>
      </c>
      <c r="V69" s="41">
        <v>0</v>
      </c>
      <c r="W69" s="248">
        <v>0</v>
      </c>
      <c r="X69" s="211">
        <f t="shared" si="4"/>
        <v>2890181</v>
      </c>
      <c r="Y69" s="219"/>
      <c r="Z69" s="80">
        <f>IFERROR(VLOOKUP($D$5:$D$260,#REF!,3,FALSE),0)</f>
        <v>0</v>
      </c>
      <c r="AA69" s="80">
        <f>IFERROR(VLOOKUP($D$5:$D$260,#REF!,3,FALSE),0)</f>
        <v>0</v>
      </c>
      <c r="AB69" s="243">
        <v>0</v>
      </c>
      <c r="AC69" s="202">
        <f t="shared" si="5"/>
        <v>0</v>
      </c>
      <c r="AD69" s="259">
        <f t="shared" si="6"/>
        <v>-377000</v>
      </c>
      <c r="AE69" s="260">
        <f t="shared" si="7"/>
        <v>-1</v>
      </c>
      <c r="AF69" s="260">
        <f t="shared" si="8"/>
        <v>-1</v>
      </c>
      <c r="AG69" s="260">
        <f t="shared" si="9"/>
        <v>-1</v>
      </c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  <c r="IW69" s="13"/>
      <c r="IX69" s="13"/>
      <c r="IY69" s="13"/>
      <c r="IZ69" s="13"/>
      <c r="JA69" s="13"/>
      <c r="JB69" s="13"/>
      <c r="JC69" s="13"/>
      <c r="JD69" s="13"/>
      <c r="JE69" s="13"/>
      <c r="JF69" s="13"/>
      <c r="JG69" s="13"/>
      <c r="JH69" s="13"/>
      <c r="JI69" s="13"/>
      <c r="JJ69" s="13"/>
      <c r="JK69" s="13"/>
      <c r="JL69" s="13"/>
      <c r="JM69" s="13"/>
      <c r="JN69" s="13"/>
      <c r="JO69" s="13"/>
      <c r="JP69" s="13"/>
      <c r="JQ69" s="13"/>
      <c r="JR69" s="13"/>
      <c r="JS69" s="13"/>
      <c r="JT69" s="13"/>
      <c r="JU69" s="13"/>
      <c r="JV69" s="13"/>
      <c r="JW69" s="13"/>
      <c r="JX69" s="13"/>
      <c r="JY69" s="13"/>
      <c r="JZ69" s="13"/>
      <c r="KA69" s="13"/>
      <c r="KB69" s="13"/>
      <c r="KC69" s="13"/>
      <c r="KD69" s="13"/>
      <c r="KE69" s="13"/>
      <c r="KF69" s="13"/>
      <c r="KG69" s="13"/>
      <c r="KH69" s="13"/>
      <c r="KI69" s="13"/>
      <c r="KJ69" s="13"/>
      <c r="KK69" s="13"/>
      <c r="KL69" s="13"/>
      <c r="KM69" s="13"/>
      <c r="KN69" s="13"/>
      <c r="KO69" s="13"/>
      <c r="KP69" s="13"/>
      <c r="KQ69" s="13"/>
      <c r="KR69" s="13"/>
      <c r="KS69" s="13"/>
      <c r="KT69" s="13"/>
      <c r="KU69" s="13"/>
      <c r="KV69" s="13"/>
      <c r="KW69" s="13"/>
      <c r="KX69" s="13"/>
      <c r="KY69" s="13"/>
      <c r="KZ69" s="13"/>
      <c r="LA69" s="13"/>
      <c r="LB69" s="13"/>
      <c r="LC69" s="13"/>
      <c r="LD69" s="13"/>
      <c r="LE69" s="13"/>
      <c r="LF69" s="13"/>
      <c r="LG69" s="13"/>
      <c r="LH69" s="13"/>
      <c r="LI69" s="13"/>
      <c r="LJ69" s="13"/>
      <c r="LK69" s="13"/>
      <c r="LL69" s="13"/>
      <c r="LM69" s="13"/>
      <c r="LN69" s="13"/>
      <c r="LO69" s="13"/>
      <c r="LP69" s="13"/>
      <c r="LQ69" s="13"/>
      <c r="LR69" s="13"/>
      <c r="LS69" s="13"/>
      <c r="LT69" s="13"/>
      <c r="LU69" s="13"/>
      <c r="LV69" s="13"/>
      <c r="LW69" s="13"/>
      <c r="LX69" s="13"/>
      <c r="LY69" s="13"/>
      <c r="LZ69" s="13"/>
      <c r="MA69" s="13"/>
      <c r="MB69" s="13"/>
      <c r="MC69" s="13"/>
      <c r="MD69" s="13"/>
      <c r="ME69" s="13"/>
      <c r="MF69" s="13"/>
      <c r="MG69" s="13"/>
      <c r="MH69" s="13"/>
      <c r="MI69" s="13"/>
      <c r="MJ69" s="13"/>
      <c r="MK69" s="13"/>
      <c r="ML69" s="13"/>
      <c r="MM69" s="13"/>
      <c r="MN69" s="13"/>
      <c r="MO69" s="13"/>
      <c r="MP69" s="13"/>
      <c r="MQ69" s="13"/>
      <c r="MR69" s="13"/>
      <c r="MS69" s="13"/>
      <c r="MT69" s="13"/>
      <c r="MU69" s="13"/>
      <c r="MV69" s="13"/>
      <c r="MW69" s="13"/>
      <c r="MX69" s="13"/>
      <c r="MY69" s="13"/>
      <c r="MZ69" s="13"/>
      <c r="NA69" s="13"/>
      <c r="NB69" s="13"/>
      <c r="NC69" s="13"/>
      <c r="ND69" s="13"/>
      <c r="NE69" s="13"/>
      <c r="NF69" s="13"/>
      <c r="NG69" s="13"/>
      <c r="NH69" s="13"/>
      <c r="NI69" s="13"/>
      <c r="NJ69" s="13"/>
      <c r="NK69" s="13"/>
      <c r="NL69" s="13"/>
      <c r="NM69" s="13"/>
      <c r="NN69" s="13"/>
      <c r="NO69" s="13"/>
      <c r="NP69" s="13"/>
      <c r="NQ69" s="13"/>
      <c r="NR69" s="13"/>
      <c r="NS69" s="13"/>
      <c r="NT69" s="13"/>
      <c r="NU69" s="13"/>
      <c r="NV69" s="13"/>
      <c r="NW69" s="13"/>
      <c r="NX69" s="13"/>
      <c r="NY69" s="13"/>
      <c r="NZ69" s="13"/>
      <c r="OA69" s="13"/>
      <c r="OB69" s="13"/>
      <c r="OC69" s="13"/>
      <c r="OD69" s="13"/>
      <c r="OE69" s="13"/>
      <c r="OF69" s="13"/>
      <c r="OG69" s="13"/>
      <c r="OH69" s="13"/>
      <c r="OI69" s="13"/>
      <c r="OJ69" s="13"/>
      <c r="OK69" s="13"/>
      <c r="OL69" s="13"/>
      <c r="OM69" s="13"/>
      <c r="ON69" s="13"/>
      <c r="OO69" s="13"/>
      <c r="OP69" s="13"/>
      <c r="OQ69" s="13"/>
      <c r="OR69" s="13"/>
      <c r="OS69" s="13"/>
      <c r="OT69" s="13"/>
      <c r="OU69" s="13"/>
      <c r="OV69" s="13"/>
      <c r="OW69" s="13"/>
      <c r="OX69" s="13"/>
      <c r="OY69" s="13"/>
      <c r="OZ69" s="13"/>
      <c r="PA69" s="13"/>
      <c r="PB69" s="13"/>
      <c r="PC69" s="13"/>
      <c r="PD69" s="13"/>
      <c r="PE69" s="13"/>
      <c r="PF69" s="13"/>
      <c r="PG69" s="13"/>
      <c r="PH69" s="13"/>
      <c r="PI69" s="13"/>
      <c r="PJ69" s="13"/>
      <c r="PK69" s="13"/>
      <c r="PL69" s="13"/>
      <c r="PM69" s="13"/>
      <c r="PN69" s="13"/>
      <c r="PO69" s="13"/>
      <c r="PP69" s="13"/>
      <c r="PQ69" s="13"/>
      <c r="PR69" s="13"/>
      <c r="PS69" s="13"/>
      <c r="PT69" s="13"/>
      <c r="PU69" s="13"/>
      <c r="PV69" s="13"/>
      <c r="PW69" s="13"/>
      <c r="PX69" s="13"/>
      <c r="PY69" s="13"/>
      <c r="PZ69" s="13"/>
      <c r="QA69" s="13"/>
      <c r="QB69" s="13"/>
      <c r="QC69" s="13"/>
      <c r="QD69" s="13"/>
      <c r="QE69" s="13"/>
      <c r="QF69" s="13"/>
      <c r="QG69" s="13"/>
      <c r="QH69" s="13"/>
      <c r="QI69" s="13"/>
      <c r="QJ69" s="13"/>
      <c r="QK69" s="13"/>
      <c r="QL69" s="13"/>
      <c r="QM69" s="13"/>
      <c r="QN69" s="13"/>
      <c r="QO69" s="13"/>
      <c r="QP69" s="13"/>
      <c r="QQ69" s="13"/>
      <c r="QR69" s="13"/>
      <c r="QS69" s="13"/>
      <c r="QT69" s="13"/>
      <c r="QU69" s="13"/>
      <c r="QV69" s="13"/>
      <c r="QW69" s="13"/>
      <c r="QX69" s="13"/>
      <c r="QY69" s="13"/>
      <c r="QZ69" s="13"/>
      <c r="RA69" s="13"/>
      <c r="RB69" s="13"/>
      <c r="RC69" s="13"/>
      <c r="RD69" s="13"/>
      <c r="RE69" s="13"/>
      <c r="RF69" s="13"/>
      <c r="RG69" s="13"/>
      <c r="RH69" s="13"/>
      <c r="RI69" s="13"/>
      <c r="RJ69" s="13"/>
      <c r="RK69" s="13"/>
      <c r="RL69" s="13"/>
      <c r="RM69" s="13"/>
      <c r="RN69" s="13"/>
      <c r="RO69" s="13"/>
      <c r="RP69" s="13"/>
      <c r="RQ69" s="13"/>
      <c r="RR69" s="13"/>
      <c r="RS69" s="13"/>
      <c r="RT69" s="13"/>
      <c r="RU69" s="13"/>
      <c r="RV69" s="13"/>
      <c r="RW69" s="13"/>
      <c r="RX69" s="13"/>
      <c r="RY69" s="13"/>
      <c r="RZ69" s="13"/>
      <c r="SA69" s="13"/>
      <c r="SB69" s="13"/>
      <c r="SC69" s="13"/>
      <c r="SD69" s="13"/>
      <c r="SE69" s="13"/>
      <c r="SF69" s="13"/>
      <c r="SG69" s="13"/>
      <c r="SH69" s="13"/>
      <c r="SI69" s="13"/>
      <c r="SJ69" s="13"/>
      <c r="SK69" s="13"/>
      <c r="SL69" s="13"/>
      <c r="SM69" s="13"/>
      <c r="SN69" s="13"/>
      <c r="SO69" s="13"/>
      <c r="SP69" s="13"/>
      <c r="SQ69" s="13"/>
      <c r="SR69" s="13"/>
      <c r="SS69" s="13"/>
      <c r="ST69" s="13"/>
      <c r="SU69" s="13"/>
      <c r="SV69" s="13"/>
      <c r="SW69" s="13"/>
      <c r="SX69" s="13"/>
      <c r="SY69" s="13"/>
      <c r="SZ69" s="13"/>
      <c r="TA69" s="13"/>
      <c r="TB69" s="13"/>
      <c r="TC69" s="13"/>
      <c r="TD69" s="13"/>
      <c r="TE69" s="13"/>
      <c r="TF69" s="13"/>
      <c r="TG69" s="13"/>
      <c r="TH69" s="13"/>
      <c r="TI69" s="13"/>
      <c r="TJ69" s="13"/>
      <c r="TK69" s="13"/>
      <c r="TL69" s="13"/>
      <c r="TM69" s="13"/>
      <c r="TN69" s="13"/>
      <c r="TO69" s="13"/>
      <c r="TP69" s="13"/>
      <c r="TQ69" s="13"/>
      <c r="TR69" s="13"/>
      <c r="TS69" s="13"/>
      <c r="TT69" s="13"/>
      <c r="TU69" s="13"/>
      <c r="TV69" s="13"/>
      <c r="TW69" s="13"/>
      <c r="TX69" s="13"/>
      <c r="TY69" s="13"/>
      <c r="TZ69" s="13"/>
      <c r="UA69" s="13"/>
      <c r="UB69" s="13"/>
      <c r="UC69" s="13"/>
      <c r="UD69" s="13"/>
      <c r="UE69" s="13"/>
      <c r="UF69" s="13"/>
      <c r="UG69" s="13"/>
      <c r="UH69" s="13"/>
      <c r="UI69" s="13"/>
      <c r="UJ69" s="13"/>
      <c r="UK69" s="13"/>
      <c r="UL69" s="13"/>
      <c r="UM69" s="13"/>
      <c r="UN69" s="13"/>
      <c r="UO69" s="13"/>
      <c r="UP69" s="13"/>
      <c r="UQ69" s="13"/>
      <c r="UR69" s="13"/>
      <c r="US69" s="13"/>
      <c r="UT69" s="13"/>
      <c r="UU69" s="13"/>
      <c r="UV69" s="13"/>
      <c r="UW69" s="13"/>
      <c r="UX69" s="13"/>
      <c r="UY69" s="13"/>
      <c r="UZ69" s="13"/>
      <c r="VA69" s="13"/>
      <c r="VB69" s="13"/>
      <c r="VC69" s="13"/>
      <c r="VD69" s="13"/>
      <c r="VE69" s="13"/>
      <c r="VF69" s="13"/>
      <c r="VG69" s="13"/>
      <c r="VH69" s="13"/>
      <c r="VI69" s="13"/>
      <c r="VJ69" s="13"/>
      <c r="VK69" s="13"/>
      <c r="VL69" s="13"/>
      <c r="VM69" s="13"/>
      <c r="VN69" s="13"/>
      <c r="VO69" s="13"/>
      <c r="VP69" s="13"/>
      <c r="VQ69" s="13"/>
      <c r="VR69" s="13"/>
      <c r="VS69" s="13"/>
      <c r="VT69" s="13"/>
    </row>
    <row r="70" spans="1:592" s="13" customFormat="1" ht="21" x14ac:dyDescent="0.2">
      <c r="A70" s="10" t="s">
        <v>344</v>
      </c>
      <c r="B70" s="11">
        <v>71220097</v>
      </c>
      <c r="C70" s="11" t="s">
        <v>296</v>
      </c>
      <c r="D70" s="11">
        <v>4418892</v>
      </c>
      <c r="E70" s="225" t="s">
        <v>298</v>
      </c>
      <c r="F70" s="192" t="s">
        <v>278</v>
      </c>
      <c r="G70" s="201">
        <f>IFERROR(VLOOKUP(D70,List1!$A$5:$B$227,2,FALSE),"0")</f>
        <v>13455000</v>
      </c>
      <c r="H70" s="41">
        <f>IFERROR(VLOOKUP(D70,List1!$D$5:$E$41,2,FALSE),"0")</f>
        <v>945591</v>
      </c>
      <c r="I70" s="41" t="str">
        <f>IFERROR(VLOOKUP(D70,List1!$G$5:$H$227,2,FALSE),"0")</f>
        <v>0</v>
      </c>
      <c r="J70" s="40">
        <f t="shared" ref="J70:J133" si="10">G70+H70+I70</f>
        <v>14400591</v>
      </c>
      <c r="K70" s="41" t="str">
        <f>IFERROR(VLOOKUP(D70,List1!$J$5:$K$227,2,FALSE),"0")</f>
        <v>0</v>
      </c>
      <c r="L70" s="41" t="str">
        <f>IFERROR(VLOOKUP(D70,List1!$M$5:$N$112,2,FALSE),"0")</f>
        <v>0</v>
      </c>
      <c r="M70" s="43">
        <v>0</v>
      </c>
      <c r="N70" s="80">
        <f>VLOOKUP($D$5:$D$251,List2!$A$2:$B$241,2,FALSE)</f>
        <v>0</v>
      </c>
      <c r="O70" s="80">
        <f>IFERROR(VLOOKUP($D$5:$D$260,List1!$Y$5:$Z$244,2,FALSE),0)</f>
        <v>2974857.86</v>
      </c>
      <c r="P70" s="202">
        <f>IFERROR(VLOOKUP($D$5:$D$260,List1!$AB$5:$AC$244,2,FALSE),0)</f>
        <v>0</v>
      </c>
      <c r="Q70" s="201">
        <f>IFERROR(VLOOKUP($D$5:$D$260,List1!$S$5:$T$231,2,FALSE),0)</f>
        <v>15516703</v>
      </c>
      <c r="R70" s="41">
        <v>0</v>
      </c>
      <c r="S70" s="41">
        <f>IFERROR(VLOOKUP($D$5:$D$260,List1!$AE$5:$AF$231,2,FALSE),0)</f>
        <v>1259987</v>
      </c>
      <c r="T70" s="41">
        <f t="shared" ref="T70:T133" si="11">Q70+R70+S70</f>
        <v>16776690</v>
      </c>
      <c r="U70" s="41" t="str">
        <f>IFERROR(VLOOKUP(D70,List1!$P$5:$Q$110,2,FALSE),"0")</f>
        <v>0</v>
      </c>
      <c r="V70" s="41">
        <v>0</v>
      </c>
      <c r="W70" s="248">
        <v>0</v>
      </c>
      <c r="X70" s="211">
        <f t="shared" ref="X70:X133" si="12">T70+U70+V70+W70</f>
        <v>16776690</v>
      </c>
      <c r="Y70" s="219"/>
      <c r="Z70" s="80">
        <f>IFERROR(VLOOKUP($D$5:$D$260,#REF!,3,FALSE),0)</f>
        <v>0</v>
      </c>
      <c r="AA70" s="80">
        <f>IFERROR(VLOOKUP($D$5:$D$260,#REF!,3,FALSE),0)</f>
        <v>0</v>
      </c>
      <c r="AB70" s="243">
        <v>0</v>
      </c>
      <c r="AC70" s="202">
        <f t="shared" ref="AC70:AC133" si="13">Z70+AA70+Y70+AB70</f>
        <v>0</v>
      </c>
      <c r="AD70" s="259">
        <f t="shared" ref="AD70:AD133" si="14">(Z70+AA70)-U70</f>
        <v>0</v>
      </c>
      <c r="AE70" s="260">
        <f t="shared" ref="AE70:AE133" si="15">IFERROR(((Z70+AA70)-U70)/U70,0)</f>
        <v>0</v>
      </c>
      <c r="AF70" s="260">
        <f t="shared" ref="AF70:AF133" si="16">IFERROR((Z70-U70)/U70,0)</f>
        <v>0</v>
      </c>
      <c r="AG70" s="260">
        <f t="shared" ref="AG70:AG133" si="17">IFERROR((AA70-U70)/U70,0)</f>
        <v>0</v>
      </c>
    </row>
    <row r="71" spans="1:592" s="20" customFormat="1" ht="21" x14ac:dyDescent="0.2">
      <c r="A71" s="10" t="s">
        <v>344</v>
      </c>
      <c r="B71" s="11">
        <v>71220097</v>
      </c>
      <c r="C71" s="11" t="s">
        <v>296</v>
      </c>
      <c r="D71" s="11">
        <v>4890597</v>
      </c>
      <c r="E71" s="225" t="s">
        <v>337</v>
      </c>
      <c r="F71" s="192" t="s">
        <v>278</v>
      </c>
      <c r="G71" s="201">
        <f>IFERROR(VLOOKUP(D71,List1!$A$5:$B$227,2,FALSE),"0")</f>
        <v>1637000</v>
      </c>
      <c r="H71" s="41">
        <f>IFERROR(VLOOKUP(D71,List1!$D$5:$E$41,2,FALSE),"0")</f>
        <v>278400</v>
      </c>
      <c r="I71" s="41" t="str">
        <f>IFERROR(VLOOKUP(D71,List1!$G$5:$H$227,2,FALSE),"0")</f>
        <v>0</v>
      </c>
      <c r="J71" s="40">
        <f t="shared" si="10"/>
        <v>1915400</v>
      </c>
      <c r="K71" s="41" t="str">
        <f>IFERROR(VLOOKUP(D71,List1!$J$5:$K$227,2,FALSE),"0")</f>
        <v>0</v>
      </c>
      <c r="L71" s="41" t="str">
        <f>IFERROR(VLOOKUP(D71,List1!$M$5:$N$112,2,FALSE),"0")</f>
        <v>0</v>
      </c>
      <c r="M71" s="43">
        <v>0</v>
      </c>
      <c r="N71" s="80">
        <f>VLOOKUP($D$5:$D$251,List2!$A$2:$B$241,2,FALSE)</f>
        <v>0</v>
      </c>
      <c r="O71" s="80">
        <f>IFERROR(VLOOKUP($D$5:$D$260,List1!$Y$5:$Z$244,2,FALSE),0)</f>
        <v>743222.14</v>
      </c>
      <c r="P71" s="202">
        <f>IFERROR(VLOOKUP($D$5:$D$260,List1!$AB$5:$AC$244,2,FALSE),0)</f>
        <v>0</v>
      </c>
      <c r="Q71" s="201">
        <f>IFERROR(VLOOKUP($D$5:$D$260,List1!$S$5:$T$231,2,FALSE),0)</f>
        <v>1404197</v>
      </c>
      <c r="R71" s="41">
        <v>0</v>
      </c>
      <c r="S71" s="41">
        <f>IFERROR(VLOOKUP($D$5:$D$260,List1!$AE$5:$AF$231,2,FALSE),0)</f>
        <v>193844</v>
      </c>
      <c r="T71" s="41">
        <f t="shared" si="11"/>
        <v>1598041</v>
      </c>
      <c r="U71" s="41" t="str">
        <f>IFERROR(VLOOKUP(D71,List1!$P$5:$Q$110,2,FALSE),"0")</f>
        <v>0</v>
      </c>
      <c r="V71" s="41">
        <v>0</v>
      </c>
      <c r="W71" s="248">
        <v>0</v>
      </c>
      <c r="X71" s="211">
        <f t="shared" si="12"/>
        <v>1598041</v>
      </c>
      <c r="Y71" s="219"/>
      <c r="Z71" s="80">
        <f>IFERROR(VLOOKUP($D$5:$D$260,#REF!,3,FALSE),0)</f>
        <v>0</v>
      </c>
      <c r="AA71" s="80">
        <f>IFERROR(VLOOKUP($D$5:$D$260,#REF!,3,FALSE),0)</f>
        <v>0</v>
      </c>
      <c r="AB71" s="243">
        <v>0</v>
      </c>
      <c r="AC71" s="202">
        <f t="shared" si="13"/>
        <v>0</v>
      </c>
      <c r="AD71" s="259">
        <f t="shared" si="14"/>
        <v>0</v>
      </c>
      <c r="AE71" s="260">
        <f t="shared" si="15"/>
        <v>0</v>
      </c>
      <c r="AF71" s="260">
        <f t="shared" si="16"/>
        <v>0</v>
      </c>
      <c r="AG71" s="260">
        <f t="shared" si="17"/>
        <v>0</v>
      </c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  <c r="IX71" s="13"/>
      <c r="IY71" s="13"/>
      <c r="IZ71" s="13"/>
      <c r="JA71" s="13"/>
      <c r="JB71" s="13"/>
      <c r="JC71" s="13"/>
      <c r="JD71" s="13"/>
      <c r="JE71" s="13"/>
      <c r="JF71" s="13"/>
      <c r="JG71" s="13"/>
      <c r="JH71" s="13"/>
      <c r="JI71" s="13"/>
      <c r="JJ71" s="13"/>
      <c r="JK71" s="13"/>
      <c r="JL71" s="13"/>
      <c r="JM71" s="13"/>
      <c r="JN71" s="13"/>
      <c r="JO71" s="13"/>
      <c r="JP71" s="13"/>
      <c r="JQ71" s="13"/>
      <c r="JR71" s="13"/>
      <c r="JS71" s="13"/>
      <c r="JT71" s="13"/>
      <c r="JU71" s="13"/>
      <c r="JV71" s="13"/>
      <c r="JW71" s="13"/>
      <c r="JX71" s="13"/>
      <c r="JY71" s="13"/>
      <c r="JZ71" s="13"/>
      <c r="KA71" s="13"/>
      <c r="KB71" s="13"/>
      <c r="KC71" s="13"/>
      <c r="KD71" s="13"/>
      <c r="KE71" s="13"/>
      <c r="KF71" s="13"/>
      <c r="KG71" s="13"/>
      <c r="KH71" s="13"/>
      <c r="KI71" s="13"/>
      <c r="KJ71" s="13"/>
      <c r="KK71" s="13"/>
      <c r="KL71" s="13"/>
      <c r="KM71" s="13"/>
      <c r="KN71" s="13"/>
      <c r="KO71" s="13"/>
      <c r="KP71" s="13"/>
      <c r="KQ71" s="13"/>
      <c r="KR71" s="13"/>
      <c r="KS71" s="13"/>
      <c r="KT71" s="13"/>
      <c r="KU71" s="13"/>
      <c r="KV71" s="13"/>
      <c r="KW71" s="13"/>
      <c r="KX71" s="13"/>
      <c r="KY71" s="13"/>
      <c r="KZ71" s="13"/>
      <c r="LA71" s="13"/>
      <c r="LB71" s="13"/>
      <c r="LC71" s="13"/>
      <c r="LD71" s="13"/>
      <c r="LE71" s="13"/>
      <c r="LF71" s="13"/>
      <c r="LG71" s="13"/>
      <c r="LH71" s="13"/>
      <c r="LI71" s="13"/>
      <c r="LJ71" s="13"/>
      <c r="LK71" s="13"/>
      <c r="LL71" s="13"/>
      <c r="LM71" s="13"/>
      <c r="LN71" s="13"/>
      <c r="LO71" s="13"/>
      <c r="LP71" s="13"/>
      <c r="LQ71" s="13"/>
      <c r="LR71" s="13"/>
      <c r="LS71" s="13"/>
      <c r="LT71" s="13"/>
      <c r="LU71" s="13"/>
      <c r="LV71" s="13"/>
      <c r="LW71" s="13"/>
      <c r="LX71" s="13"/>
      <c r="LY71" s="13"/>
      <c r="LZ71" s="13"/>
      <c r="MA71" s="13"/>
      <c r="MB71" s="13"/>
      <c r="MC71" s="13"/>
      <c r="MD71" s="13"/>
      <c r="ME71" s="13"/>
      <c r="MF71" s="13"/>
      <c r="MG71" s="13"/>
      <c r="MH71" s="13"/>
      <c r="MI71" s="13"/>
      <c r="MJ71" s="13"/>
      <c r="MK71" s="13"/>
      <c r="ML71" s="13"/>
      <c r="MM71" s="13"/>
      <c r="MN71" s="13"/>
      <c r="MO71" s="13"/>
      <c r="MP71" s="13"/>
      <c r="MQ71" s="13"/>
      <c r="MR71" s="13"/>
      <c r="MS71" s="13"/>
      <c r="MT71" s="13"/>
      <c r="MU71" s="13"/>
      <c r="MV71" s="13"/>
      <c r="MW71" s="13"/>
      <c r="MX71" s="13"/>
      <c r="MY71" s="13"/>
      <c r="MZ71" s="13"/>
      <c r="NA71" s="13"/>
      <c r="NB71" s="13"/>
      <c r="NC71" s="13"/>
      <c r="ND71" s="13"/>
      <c r="NE71" s="13"/>
      <c r="NF71" s="13"/>
      <c r="NG71" s="13"/>
      <c r="NH71" s="13"/>
      <c r="NI71" s="13"/>
      <c r="NJ71" s="13"/>
      <c r="NK71" s="13"/>
      <c r="NL71" s="13"/>
      <c r="NM71" s="13"/>
      <c r="NN71" s="13"/>
      <c r="NO71" s="13"/>
      <c r="NP71" s="13"/>
      <c r="NQ71" s="13"/>
      <c r="NR71" s="13"/>
      <c r="NS71" s="13"/>
      <c r="NT71" s="13"/>
      <c r="NU71" s="13"/>
      <c r="NV71" s="13"/>
      <c r="NW71" s="13"/>
      <c r="NX71" s="13"/>
      <c r="NY71" s="13"/>
      <c r="NZ71" s="13"/>
      <c r="OA71" s="13"/>
      <c r="OB71" s="13"/>
      <c r="OC71" s="13"/>
      <c r="OD71" s="13"/>
      <c r="OE71" s="13"/>
      <c r="OF71" s="13"/>
      <c r="OG71" s="13"/>
      <c r="OH71" s="13"/>
      <c r="OI71" s="13"/>
      <c r="OJ71" s="13"/>
      <c r="OK71" s="13"/>
      <c r="OL71" s="13"/>
      <c r="OM71" s="13"/>
      <c r="ON71" s="13"/>
      <c r="OO71" s="13"/>
      <c r="OP71" s="13"/>
      <c r="OQ71" s="13"/>
      <c r="OR71" s="13"/>
      <c r="OS71" s="13"/>
      <c r="OT71" s="13"/>
      <c r="OU71" s="13"/>
      <c r="OV71" s="13"/>
      <c r="OW71" s="13"/>
      <c r="OX71" s="13"/>
      <c r="OY71" s="13"/>
      <c r="OZ71" s="13"/>
      <c r="PA71" s="13"/>
      <c r="PB71" s="13"/>
      <c r="PC71" s="13"/>
      <c r="PD71" s="13"/>
      <c r="PE71" s="13"/>
      <c r="PF71" s="13"/>
      <c r="PG71" s="13"/>
      <c r="PH71" s="13"/>
      <c r="PI71" s="13"/>
      <c r="PJ71" s="13"/>
      <c r="PK71" s="13"/>
      <c r="PL71" s="13"/>
      <c r="PM71" s="13"/>
      <c r="PN71" s="13"/>
      <c r="PO71" s="13"/>
      <c r="PP71" s="13"/>
      <c r="PQ71" s="13"/>
      <c r="PR71" s="13"/>
      <c r="PS71" s="13"/>
      <c r="PT71" s="13"/>
      <c r="PU71" s="13"/>
      <c r="PV71" s="13"/>
      <c r="PW71" s="13"/>
      <c r="PX71" s="13"/>
      <c r="PY71" s="13"/>
      <c r="PZ71" s="13"/>
      <c r="QA71" s="13"/>
      <c r="QB71" s="13"/>
      <c r="QC71" s="13"/>
      <c r="QD71" s="13"/>
      <c r="QE71" s="13"/>
      <c r="QF71" s="13"/>
      <c r="QG71" s="13"/>
      <c r="QH71" s="13"/>
      <c r="QI71" s="13"/>
      <c r="QJ71" s="13"/>
      <c r="QK71" s="13"/>
      <c r="QL71" s="13"/>
      <c r="QM71" s="13"/>
      <c r="QN71" s="13"/>
      <c r="QO71" s="13"/>
      <c r="QP71" s="13"/>
      <c r="QQ71" s="13"/>
      <c r="QR71" s="13"/>
      <c r="QS71" s="13"/>
      <c r="QT71" s="13"/>
      <c r="QU71" s="13"/>
      <c r="QV71" s="13"/>
      <c r="QW71" s="13"/>
      <c r="QX71" s="13"/>
      <c r="QY71" s="13"/>
      <c r="QZ71" s="13"/>
      <c r="RA71" s="13"/>
      <c r="RB71" s="13"/>
      <c r="RC71" s="13"/>
      <c r="RD71" s="13"/>
      <c r="RE71" s="13"/>
      <c r="RF71" s="13"/>
      <c r="RG71" s="13"/>
      <c r="RH71" s="13"/>
      <c r="RI71" s="13"/>
      <c r="RJ71" s="13"/>
      <c r="RK71" s="13"/>
      <c r="RL71" s="13"/>
      <c r="RM71" s="13"/>
      <c r="RN71" s="13"/>
      <c r="RO71" s="13"/>
      <c r="RP71" s="13"/>
      <c r="RQ71" s="13"/>
      <c r="RR71" s="13"/>
      <c r="RS71" s="13"/>
      <c r="RT71" s="13"/>
      <c r="RU71" s="13"/>
      <c r="RV71" s="13"/>
      <c r="RW71" s="13"/>
      <c r="RX71" s="13"/>
      <c r="RY71" s="13"/>
      <c r="RZ71" s="13"/>
      <c r="SA71" s="13"/>
      <c r="SB71" s="13"/>
      <c r="SC71" s="13"/>
      <c r="SD71" s="13"/>
      <c r="SE71" s="13"/>
      <c r="SF71" s="13"/>
      <c r="SG71" s="13"/>
      <c r="SH71" s="13"/>
      <c r="SI71" s="13"/>
      <c r="SJ71" s="13"/>
      <c r="SK71" s="13"/>
      <c r="SL71" s="13"/>
      <c r="SM71" s="13"/>
      <c r="SN71" s="13"/>
      <c r="SO71" s="13"/>
      <c r="SP71" s="13"/>
      <c r="SQ71" s="13"/>
      <c r="SR71" s="13"/>
      <c r="SS71" s="13"/>
      <c r="ST71" s="13"/>
      <c r="SU71" s="13"/>
      <c r="SV71" s="13"/>
      <c r="SW71" s="13"/>
      <c r="SX71" s="13"/>
      <c r="SY71" s="13"/>
      <c r="SZ71" s="13"/>
      <c r="TA71" s="13"/>
      <c r="TB71" s="13"/>
      <c r="TC71" s="13"/>
      <c r="TD71" s="13"/>
      <c r="TE71" s="13"/>
      <c r="TF71" s="13"/>
      <c r="TG71" s="13"/>
      <c r="TH71" s="13"/>
      <c r="TI71" s="13"/>
      <c r="TJ71" s="13"/>
      <c r="TK71" s="13"/>
      <c r="TL71" s="13"/>
      <c r="TM71" s="13"/>
      <c r="TN71" s="13"/>
      <c r="TO71" s="13"/>
      <c r="TP71" s="13"/>
      <c r="TQ71" s="13"/>
      <c r="TR71" s="13"/>
      <c r="TS71" s="13"/>
      <c r="TT71" s="13"/>
      <c r="TU71" s="13"/>
      <c r="TV71" s="13"/>
      <c r="TW71" s="13"/>
      <c r="TX71" s="13"/>
      <c r="TY71" s="13"/>
      <c r="TZ71" s="13"/>
      <c r="UA71" s="13"/>
      <c r="UB71" s="13"/>
      <c r="UC71" s="13"/>
      <c r="UD71" s="13"/>
      <c r="UE71" s="13"/>
      <c r="UF71" s="13"/>
      <c r="UG71" s="13"/>
      <c r="UH71" s="13"/>
      <c r="UI71" s="13"/>
      <c r="UJ71" s="13"/>
      <c r="UK71" s="13"/>
      <c r="UL71" s="13"/>
      <c r="UM71" s="13"/>
      <c r="UN71" s="13"/>
      <c r="UO71" s="13"/>
      <c r="UP71" s="13"/>
      <c r="UQ71" s="13"/>
      <c r="UR71" s="13"/>
      <c r="US71" s="13"/>
      <c r="UT71" s="13"/>
      <c r="UU71" s="13"/>
      <c r="UV71" s="13"/>
      <c r="UW71" s="13"/>
      <c r="UX71" s="13"/>
      <c r="UY71" s="13"/>
      <c r="UZ71" s="13"/>
      <c r="VA71" s="13"/>
      <c r="VB71" s="13"/>
      <c r="VC71" s="13"/>
      <c r="VD71" s="13"/>
      <c r="VE71" s="13"/>
      <c r="VF71" s="13"/>
      <c r="VG71" s="13"/>
      <c r="VH71" s="13"/>
      <c r="VI71" s="13"/>
      <c r="VJ71" s="13"/>
      <c r="VK71" s="13"/>
      <c r="VL71" s="13"/>
      <c r="VM71" s="13"/>
      <c r="VN71" s="13"/>
      <c r="VO71" s="13"/>
      <c r="VP71" s="13"/>
      <c r="VQ71" s="13"/>
      <c r="VR71" s="13"/>
      <c r="VS71" s="13"/>
      <c r="VT71" s="13"/>
    </row>
    <row r="72" spans="1:592" s="20" customFormat="1" ht="31.5" x14ac:dyDescent="0.2">
      <c r="A72" s="10" t="s">
        <v>345</v>
      </c>
      <c r="B72" s="11">
        <v>75070758</v>
      </c>
      <c r="C72" s="11" t="s">
        <v>296</v>
      </c>
      <c r="D72" s="11">
        <v>9653966</v>
      </c>
      <c r="E72" s="225" t="s">
        <v>297</v>
      </c>
      <c r="F72" s="192" t="s">
        <v>269</v>
      </c>
      <c r="G72" s="201">
        <f>IFERROR(VLOOKUP(D72,List1!$A$5:$B$227,2,FALSE),"0")</f>
        <v>5492000</v>
      </c>
      <c r="H72" s="41" t="str">
        <f>IFERROR(VLOOKUP(D72,List1!$D$5:$E$41,2,FALSE),"0")</f>
        <v>0</v>
      </c>
      <c r="I72" s="41">
        <f>IFERROR(VLOOKUP(D72,List1!$G$5:$H$227,2,FALSE),"0")</f>
        <v>984960</v>
      </c>
      <c r="J72" s="40">
        <f t="shared" si="10"/>
        <v>6476960</v>
      </c>
      <c r="K72" s="41" t="str">
        <f>IFERROR(VLOOKUP(D72,List1!$J$5:$K$227,2,FALSE),"0")</f>
        <v>0</v>
      </c>
      <c r="L72" s="41" t="str">
        <f>IFERROR(VLOOKUP(D72,List1!$M$5:$N$112,2,FALSE),"0")</f>
        <v>0</v>
      </c>
      <c r="M72" s="43">
        <v>0</v>
      </c>
      <c r="N72" s="80">
        <f>VLOOKUP($D$5:$D$251,List2!$A$2:$B$241,2,FALSE)</f>
        <v>0</v>
      </c>
      <c r="O72" s="80">
        <f>IFERROR(VLOOKUP($D$5:$D$260,List1!$Y$5:$Z$244,2,FALSE),0)</f>
        <v>2925351</v>
      </c>
      <c r="P72" s="202">
        <f>IFERROR(VLOOKUP($D$5:$D$260,List1!$AB$5:$AC$244,2,FALSE),0)</f>
        <v>0</v>
      </c>
      <c r="Q72" s="201">
        <f>IFERROR(VLOOKUP($D$5:$D$260,List1!$S$5:$T$231,2,FALSE),0)</f>
        <v>3843342</v>
      </c>
      <c r="R72" s="41">
        <v>0</v>
      </c>
      <c r="S72" s="45">
        <f>IFERROR(VLOOKUP($D$5:$D$260,List1!$AE$5:$AF$231,2,FALSE),0)+255000</f>
        <v>1005000</v>
      </c>
      <c r="T72" s="41">
        <f t="shared" si="11"/>
        <v>4848342</v>
      </c>
      <c r="U72" s="41" t="str">
        <f>IFERROR(VLOOKUP(D72,List1!$P$5:$Q$110,2,FALSE),"0")</f>
        <v>0</v>
      </c>
      <c r="V72" s="41">
        <v>0</v>
      </c>
      <c r="W72" s="248">
        <v>0</v>
      </c>
      <c r="X72" s="211">
        <f t="shared" si="12"/>
        <v>4848342</v>
      </c>
      <c r="Y72" s="219"/>
      <c r="Z72" s="80">
        <f>IFERROR(VLOOKUP($D$5:$D$260,#REF!,3,FALSE),0)</f>
        <v>0</v>
      </c>
      <c r="AA72" s="80">
        <f>IFERROR(VLOOKUP($D$5:$D$260,#REF!,3,FALSE),0)</f>
        <v>0</v>
      </c>
      <c r="AB72" s="243">
        <v>0</v>
      </c>
      <c r="AC72" s="202">
        <f t="shared" si="13"/>
        <v>0</v>
      </c>
      <c r="AD72" s="259">
        <f t="shared" si="14"/>
        <v>0</v>
      </c>
      <c r="AE72" s="260">
        <f t="shared" si="15"/>
        <v>0</v>
      </c>
      <c r="AF72" s="260">
        <f t="shared" si="16"/>
        <v>0</v>
      </c>
      <c r="AG72" s="260">
        <f t="shared" si="17"/>
        <v>0</v>
      </c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  <c r="OC72" s="13"/>
      <c r="OD72" s="13"/>
      <c r="OE72" s="13"/>
      <c r="OF72" s="13"/>
      <c r="OG72" s="13"/>
      <c r="OH72" s="13"/>
      <c r="OI72" s="13"/>
      <c r="OJ72" s="13"/>
      <c r="OK72" s="13"/>
      <c r="OL72" s="13"/>
      <c r="OM72" s="13"/>
      <c r="ON72" s="13"/>
      <c r="OO72" s="13"/>
      <c r="OP72" s="13"/>
      <c r="OQ72" s="13"/>
      <c r="OR72" s="13"/>
      <c r="OS72" s="13"/>
      <c r="OT72" s="13"/>
      <c r="OU72" s="13"/>
      <c r="OV72" s="13"/>
      <c r="OW72" s="13"/>
      <c r="OX72" s="13"/>
      <c r="OY72" s="13"/>
      <c r="OZ72" s="13"/>
      <c r="PA72" s="13"/>
      <c r="PB72" s="13"/>
      <c r="PC72" s="13"/>
      <c r="PD72" s="13"/>
      <c r="PE72" s="13"/>
      <c r="PF72" s="13"/>
      <c r="PG72" s="13"/>
      <c r="PH72" s="13"/>
      <c r="PI72" s="13"/>
      <c r="PJ72" s="13"/>
      <c r="PK72" s="13"/>
      <c r="PL72" s="13"/>
      <c r="PM72" s="13"/>
      <c r="PN72" s="13"/>
      <c r="PO72" s="13"/>
      <c r="PP72" s="13"/>
      <c r="PQ72" s="13"/>
      <c r="PR72" s="13"/>
      <c r="PS72" s="13"/>
      <c r="PT72" s="13"/>
      <c r="PU72" s="13"/>
      <c r="PV72" s="13"/>
      <c r="PW72" s="13"/>
      <c r="PX72" s="13"/>
      <c r="PY72" s="13"/>
      <c r="PZ72" s="13"/>
      <c r="QA72" s="13"/>
      <c r="QB72" s="13"/>
      <c r="QC72" s="13"/>
      <c r="QD72" s="13"/>
      <c r="QE72" s="13"/>
      <c r="QF72" s="13"/>
      <c r="QG72" s="13"/>
      <c r="QH72" s="13"/>
      <c r="QI72" s="13"/>
      <c r="QJ72" s="13"/>
      <c r="QK72" s="13"/>
      <c r="QL72" s="13"/>
      <c r="QM72" s="13"/>
      <c r="QN72" s="13"/>
      <c r="QO72" s="13"/>
      <c r="QP72" s="13"/>
      <c r="QQ72" s="13"/>
      <c r="QR72" s="13"/>
      <c r="QS72" s="13"/>
      <c r="QT72" s="13"/>
      <c r="QU72" s="13"/>
      <c r="QV72" s="13"/>
      <c r="QW72" s="13"/>
      <c r="QX72" s="13"/>
      <c r="QY72" s="13"/>
      <c r="QZ72" s="13"/>
      <c r="RA72" s="13"/>
      <c r="RB72" s="13"/>
      <c r="RC72" s="13"/>
      <c r="RD72" s="13"/>
      <c r="RE72" s="13"/>
      <c r="RF72" s="13"/>
      <c r="RG72" s="13"/>
      <c r="RH72" s="13"/>
      <c r="RI72" s="13"/>
      <c r="RJ72" s="13"/>
      <c r="RK72" s="13"/>
      <c r="RL72" s="13"/>
      <c r="RM72" s="13"/>
      <c r="RN72" s="13"/>
      <c r="RO72" s="13"/>
      <c r="RP72" s="13"/>
      <c r="RQ72" s="13"/>
      <c r="RR72" s="13"/>
      <c r="RS72" s="13"/>
      <c r="RT72" s="13"/>
      <c r="RU72" s="13"/>
      <c r="RV72" s="13"/>
      <c r="RW72" s="13"/>
      <c r="RX72" s="13"/>
      <c r="RY72" s="13"/>
      <c r="RZ72" s="13"/>
      <c r="SA72" s="13"/>
      <c r="SB72" s="13"/>
      <c r="SC72" s="13"/>
      <c r="SD72" s="13"/>
      <c r="SE72" s="13"/>
      <c r="SF72" s="13"/>
      <c r="SG72" s="13"/>
      <c r="SH72" s="13"/>
      <c r="SI72" s="13"/>
      <c r="SJ72" s="13"/>
      <c r="SK72" s="13"/>
      <c r="SL72" s="13"/>
      <c r="SM72" s="13"/>
      <c r="SN72" s="13"/>
      <c r="SO72" s="13"/>
      <c r="SP72" s="13"/>
      <c r="SQ72" s="13"/>
      <c r="SR72" s="13"/>
      <c r="SS72" s="13"/>
      <c r="ST72" s="13"/>
      <c r="SU72" s="13"/>
      <c r="SV72" s="13"/>
      <c r="SW72" s="13"/>
      <c r="SX72" s="13"/>
      <c r="SY72" s="13"/>
      <c r="SZ72" s="13"/>
      <c r="TA72" s="13"/>
      <c r="TB72" s="13"/>
      <c r="TC72" s="13"/>
      <c r="TD72" s="13"/>
      <c r="TE72" s="13"/>
      <c r="TF72" s="13"/>
      <c r="TG72" s="13"/>
      <c r="TH72" s="13"/>
      <c r="TI72" s="13"/>
      <c r="TJ72" s="13"/>
      <c r="TK72" s="13"/>
      <c r="TL72" s="13"/>
      <c r="TM72" s="13"/>
      <c r="TN72" s="13"/>
      <c r="TO72" s="13"/>
      <c r="TP72" s="13"/>
      <c r="TQ72" s="13"/>
      <c r="TR72" s="13"/>
      <c r="TS72" s="13"/>
      <c r="TT72" s="13"/>
      <c r="TU72" s="13"/>
      <c r="TV72" s="13"/>
      <c r="TW72" s="13"/>
      <c r="TX72" s="13"/>
      <c r="TY72" s="13"/>
      <c r="TZ72" s="13"/>
      <c r="UA72" s="13"/>
      <c r="UB72" s="13"/>
      <c r="UC72" s="13"/>
      <c r="UD72" s="13"/>
      <c r="UE72" s="13"/>
      <c r="UF72" s="13"/>
      <c r="UG72" s="13"/>
      <c r="UH72" s="13"/>
      <c r="UI72" s="13"/>
      <c r="UJ72" s="13"/>
      <c r="UK72" s="13"/>
      <c r="UL72" s="13"/>
      <c r="UM72" s="13"/>
      <c r="UN72" s="13"/>
      <c r="UO72" s="13"/>
      <c r="UP72" s="13"/>
      <c r="UQ72" s="13"/>
      <c r="UR72" s="13"/>
      <c r="US72" s="13"/>
      <c r="UT72" s="13"/>
      <c r="UU72" s="13"/>
      <c r="UV72" s="13"/>
      <c r="UW72" s="13"/>
      <c r="UX72" s="13"/>
      <c r="UY72" s="13"/>
      <c r="UZ72" s="13"/>
      <c r="VA72" s="13"/>
      <c r="VB72" s="13"/>
      <c r="VC72" s="13"/>
      <c r="VD72" s="13"/>
      <c r="VE72" s="13"/>
      <c r="VF72" s="13"/>
      <c r="VG72" s="13"/>
      <c r="VH72" s="13"/>
      <c r="VI72" s="13"/>
      <c r="VJ72" s="13"/>
      <c r="VK72" s="13"/>
      <c r="VL72" s="13"/>
      <c r="VM72" s="13"/>
      <c r="VN72" s="13"/>
      <c r="VO72" s="13"/>
      <c r="VP72" s="13"/>
      <c r="VQ72" s="13"/>
      <c r="VR72" s="13"/>
      <c r="VS72" s="13"/>
      <c r="VT72" s="13"/>
    </row>
    <row r="73" spans="1:592" s="13" customFormat="1" ht="31.5" x14ac:dyDescent="0.2">
      <c r="A73" s="10" t="s">
        <v>345</v>
      </c>
      <c r="B73" s="11">
        <v>75070758</v>
      </c>
      <c r="C73" s="11" t="s">
        <v>296</v>
      </c>
      <c r="D73" s="11">
        <v>1347706</v>
      </c>
      <c r="E73" s="225" t="s">
        <v>298</v>
      </c>
      <c r="F73" s="192" t="s">
        <v>278</v>
      </c>
      <c r="G73" s="201">
        <f>IFERROR(VLOOKUP(D73,List1!$A$5:$B$227,2,FALSE),"0")</f>
        <v>12985000</v>
      </c>
      <c r="H73" s="41">
        <f>IFERROR(VLOOKUP(D73,List1!$D$5:$E$41,2,FALSE),"0")</f>
        <v>307280</v>
      </c>
      <c r="I73" s="41">
        <f>IFERROR(VLOOKUP(D73,List1!$G$5:$H$227,2,FALSE),"0")</f>
        <v>1080000</v>
      </c>
      <c r="J73" s="40">
        <f t="shared" si="10"/>
        <v>14372280</v>
      </c>
      <c r="K73" s="41" t="str">
        <f>IFERROR(VLOOKUP(D73,List1!$J$5:$K$227,2,FALSE),"0")</f>
        <v>0</v>
      </c>
      <c r="L73" s="41" t="str">
        <f>IFERROR(VLOOKUP(D73,List1!$M$5:$N$112,2,FALSE),"0")</f>
        <v>0</v>
      </c>
      <c r="M73" s="43">
        <v>0</v>
      </c>
      <c r="N73" s="80">
        <f>VLOOKUP($D$5:$D$251,List2!$A$2:$B$241,2,FALSE)</f>
        <v>0</v>
      </c>
      <c r="O73" s="80">
        <f>IFERROR(VLOOKUP($D$5:$D$260,List1!$Y$5:$Z$244,2,FALSE),0)</f>
        <v>1964889</v>
      </c>
      <c r="P73" s="202">
        <f>IFERROR(VLOOKUP($D$5:$D$260,List1!$AB$5:$AC$244,2,FALSE),0)</f>
        <v>0</v>
      </c>
      <c r="Q73" s="201">
        <f>IFERROR(VLOOKUP($D$5:$D$260,List1!$S$5:$T$231,2,FALSE),0)</f>
        <v>10599450</v>
      </c>
      <c r="R73" s="41">
        <v>0</v>
      </c>
      <c r="S73" s="41">
        <f>IFERROR(VLOOKUP($D$5:$D$260,List1!$AE$5:$AF$231,2,FALSE),0)</f>
        <v>872299</v>
      </c>
      <c r="T73" s="41">
        <f t="shared" si="11"/>
        <v>11471749</v>
      </c>
      <c r="U73" s="41" t="str">
        <f>IFERROR(VLOOKUP(D73,List1!$P$5:$Q$110,2,FALSE),"0")</f>
        <v>0</v>
      </c>
      <c r="V73" s="41">
        <v>0</v>
      </c>
      <c r="W73" s="248">
        <v>0</v>
      </c>
      <c r="X73" s="211">
        <f t="shared" si="12"/>
        <v>11471749</v>
      </c>
      <c r="Y73" s="219"/>
      <c r="Z73" s="80">
        <f>IFERROR(VLOOKUP($D$5:$D$260,#REF!,3,FALSE),0)</f>
        <v>0</v>
      </c>
      <c r="AA73" s="80">
        <f>IFERROR(VLOOKUP($D$5:$D$260,#REF!,3,FALSE),0)</f>
        <v>0</v>
      </c>
      <c r="AB73" s="243">
        <v>0</v>
      </c>
      <c r="AC73" s="202">
        <f t="shared" si="13"/>
        <v>0</v>
      </c>
      <c r="AD73" s="259">
        <f t="shared" si="14"/>
        <v>0</v>
      </c>
      <c r="AE73" s="260">
        <f t="shared" si="15"/>
        <v>0</v>
      </c>
      <c r="AF73" s="260">
        <f t="shared" si="16"/>
        <v>0</v>
      </c>
      <c r="AG73" s="260">
        <f t="shared" si="17"/>
        <v>0</v>
      </c>
    </row>
    <row r="74" spans="1:592" s="20" customFormat="1" ht="63" x14ac:dyDescent="0.2">
      <c r="A74" s="10" t="s">
        <v>346</v>
      </c>
      <c r="B74" s="11">
        <v>71167463</v>
      </c>
      <c r="C74" s="11" t="s">
        <v>324</v>
      </c>
      <c r="D74" s="11">
        <v>3555154</v>
      </c>
      <c r="E74" s="225" t="s">
        <v>325</v>
      </c>
      <c r="F74" s="192" t="s">
        <v>294</v>
      </c>
      <c r="G74" s="201">
        <f>IFERROR(VLOOKUP(D74,List1!$A$5:$B$227,2,FALSE),"0")</f>
        <v>846000</v>
      </c>
      <c r="H74" s="41" t="str">
        <f>IFERROR(VLOOKUP(D74,List1!$D$5:$E$41,2,FALSE),"0")</f>
        <v>0</v>
      </c>
      <c r="I74" s="41">
        <f>IFERROR(VLOOKUP(D74,List1!$G$5:$H$227,2,FALSE),"0")</f>
        <v>249185</v>
      </c>
      <c r="J74" s="40">
        <f t="shared" si="10"/>
        <v>1095185</v>
      </c>
      <c r="K74" s="41" t="str">
        <f>IFERROR(VLOOKUP(D74,List1!$J$5:$K$227,2,FALSE),"0")</f>
        <v>0</v>
      </c>
      <c r="L74" s="41" t="str">
        <f>IFERROR(VLOOKUP(D74,List1!$M$5:$N$112,2,FALSE),"0")</f>
        <v>0</v>
      </c>
      <c r="M74" s="43">
        <v>0</v>
      </c>
      <c r="N74" s="80">
        <f>VLOOKUP($D$5:$D$251,List2!$A$2:$B$241,2,FALSE)</f>
        <v>0</v>
      </c>
      <c r="O74" s="80">
        <f>IFERROR(VLOOKUP($D$5:$D$260,List1!$Y$5:$Z$244,2,FALSE),0)</f>
        <v>0</v>
      </c>
      <c r="P74" s="202">
        <f>IFERROR(VLOOKUP($D$5:$D$260,List1!$AB$5:$AC$244,2,FALSE),0)</f>
        <v>0</v>
      </c>
      <c r="Q74" s="201">
        <f>IFERROR(VLOOKUP($D$5:$D$260,List1!$S$5:$T$231,2,FALSE),0)</f>
        <v>903350</v>
      </c>
      <c r="R74" s="41">
        <v>0</v>
      </c>
      <c r="S74" s="41">
        <f>IFERROR(VLOOKUP($D$5:$D$260,List1!$AE$5:$AF$231,2,FALSE),0)</f>
        <v>200000</v>
      </c>
      <c r="T74" s="41">
        <f t="shared" si="11"/>
        <v>1103350</v>
      </c>
      <c r="U74" s="41" t="str">
        <f>IFERROR(VLOOKUP(D74,List1!$P$5:$Q$110,2,FALSE),"0")</f>
        <v>0</v>
      </c>
      <c r="V74" s="41">
        <v>0</v>
      </c>
      <c r="W74" s="248">
        <v>0</v>
      </c>
      <c r="X74" s="211">
        <f t="shared" si="12"/>
        <v>1103350</v>
      </c>
      <c r="Y74" s="219"/>
      <c r="Z74" s="80">
        <f>IFERROR(VLOOKUP($D$5:$D$260,#REF!,3,FALSE),0)</f>
        <v>0</v>
      </c>
      <c r="AA74" s="80">
        <f>IFERROR(VLOOKUP($D$5:$D$260,#REF!,3,FALSE),0)</f>
        <v>0</v>
      </c>
      <c r="AB74" s="243">
        <v>0</v>
      </c>
      <c r="AC74" s="202">
        <f t="shared" si="13"/>
        <v>0</v>
      </c>
      <c r="AD74" s="259">
        <f t="shared" si="14"/>
        <v>0</v>
      </c>
      <c r="AE74" s="260">
        <f t="shared" si="15"/>
        <v>0</v>
      </c>
      <c r="AF74" s="260">
        <f t="shared" si="16"/>
        <v>0</v>
      </c>
      <c r="AG74" s="260">
        <f t="shared" si="17"/>
        <v>0</v>
      </c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  <c r="IX74" s="13"/>
      <c r="IY74" s="13"/>
      <c r="IZ74" s="13"/>
      <c r="JA74" s="13"/>
      <c r="JB74" s="13"/>
      <c r="JC74" s="13"/>
      <c r="JD74" s="13"/>
      <c r="JE74" s="13"/>
      <c r="JF74" s="13"/>
      <c r="JG74" s="13"/>
      <c r="JH74" s="13"/>
      <c r="JI74" s="13"/>
      <c r="JJ74" s="13"/>
      <c r="JK74" s="13"/>
      <c r="JL74" s="13"/>
      <c r="JM74" s="13"/>
      <c r="JN74" s="13"/>
      <c r="JO74" s="13"/>
      <c r="JP74" s="13"/>
      <c r="JQ74" s="13"/>
      <c r="JR74" s="13"/>
      <c r="JS74" s="13"/>
      <c r="JT74" s="13"/>
      <c r="JU74" s="13"/>
      <c r="JV74" s="13"/>
      <c r="JW74" s="13"/>
      <c r="JX74" s="13"/>
      <c r="JY74" s="13"/>
      <c r="JZ74" s="13"/>
      <c r="KA74" s="13"/>
      <c r="KB74" s="13"/>
      <c r="KC74" s="13"/>
      <c r="KD74" s="13"/>
      <c r="KE74" s="13"/>
      <c r="KF74" s="13"/>
      <c r="KG74" s="13"/>
      <c r="KH74" s="13"/>
      <c r="KI74" s="13"/>
      <c r="KJ74" s="13"/>
      <c r="KK74" s="13"/>
      <c r="KL74" s="13"/>
      <c r="KM74" s="13"/>
      <c r="KN74" s="13"/>
      <c r="KO74" s="13"/>
      <c r="KP74" s="13"/>
      <c r="KQ74" s="13"/>
      <c r="KR74" s="13"/>
      <c r="KS74" s="13"/>
      <c r="KT74" s="13"/>
      <c r="KU74" s="13"/>
      <c r="KV74" s="13"/>
      <c r="KW74" s="13"/>
      <c r="KX74" s="13"/>
      <c r="KY74" s="13"/>
      <c r="KZ74" s="13"/>
      <c r="LA74" s="13"/>
      <c r="LB74" s="13"/>
      <c r="LC74" s="13"/>
      <c r="LD74" s="13"/>
      <c r="LE74" s="13"/>
      <c r="LF74" s="13"/>
      <c r="LG74" s="13"/>
      <c r="LH74" s="13"/>
      <c r="LI74" s="13"/>
      <c r="LJ74" s="13"/>
      <c r="LK74" s="13"/>
      <c r="LL74" s="13"/>
      <c r="LM74" s="13"/>
      <c r="LN74" s="13"/>
      <c r="LO74" s="13"/>
      <c r="LP74" s="13"/>
      <c r="LQ74" s="13"/>
      <c r="LR74" s="13"/>
      <c r="LS74" s="13"/>
      <c r="LT74" s="13"/>
      <c r="LU74" s="13"/>
      <c r="LV74" s="13"/>
      <c r="LW74" s="13"/>
      <c r="LX74" s="13"/>
      <c r="LY74" s="13"/>
      <c r="LZ74" s="13"/>
      <c r="MA74" s="13"/>
      <c r="MB74" s="13"/>
      <c r="MC74" s="13"/>
      <c r="MD74" s="13"/>
      <c r="ME74" s="13"/>
      <c r="MF74" s="13"/>
      <c r="MG74" s="13"/>
      <c r="MH74" s="13"/>
      <c r="MI74" s="13"/>
      <c r="MJ74" s="13"/>
      <c r="MK74" s="13"/>
      <c r="ML74" s="13"/>
      <c r="MM74" s="13"/>
      <c r="MN74" s="13"/>
      <c r="MO74" s="13"/>
      <c r="MP74" s="13"/>
      <c r="MQ74" s="13"/>
      <c r="MR74" s="13"/>
      <c r="MS74" s="13"/>
      <c r="MT74" s="13"/>
      <c r="MU74" s="13"/>
      <c r="MV74" s="13"/>
      <c r="MW74" s="13"/>
      <c r="MX74" s="13"/>
      <c r="MY74" s="13"/>
      <c r="MZ74" s="13"/>
      <c r="NA74" s="13"/>
      <c r="NB74" s="13"/>
      <c r="NC74" s="13"/>
      <c r="ND74" s="13"/>
      <c r="NE74" s="13"/>
      <c r="NF74" s="13"/>
      <c r="NG74" s="13"/>
      <c r="NH74" s="13"/>
      <c r="NI74" s="13"/>
      <c r="NJ74" s="13"/>
      <c r="NK74" s="13"/>
      <c r="NL74" s="13"/>
      <c r="NM74" s="13"/>
      <c r="NN74" s="13"/>
      <c r="NO74" s="13"/>
      <c r="NP74" s="13"/>
      <c r="NQ74" s="13"/>
      <c r="NR74" s="13"/>
      <c r="NS74" s="13"/>
      <c r="NT74" s="13"/>
      <c r="NU74" s="13"/>
      <c r="NV74" s="13"/>
      <c r="NW74" s="13"/>
      <c r="NX74" s="13"/>
      <c r="NY74" s="13"/>
      <c r="NZ74" s="13"/>
      <c r="OA74" s="13"/>
      <c r="OB74" s="13"/>
      <c r="OC74" s="13"/>
      <c r="OD74" s="13"/>
      <c r="OE74" s="13"/>
      <c r="OF74" s="13"/>
      <c r="OG74" s="13"/>
      <c r="OH74" s="13"/>
      <c r="OI74" s="13"/>
      <c r="OJ74" s="13"/>
      <c r="OK74" s="13"/>
      <c r="OL74" s="13"/>
      <c r="OM74" s="13"/>
      <c r="ON74" s="13"/>
      <c r="OO74" s="13"/>
      <c r="OP74" s="13"/>
      <c r="OQ74" s="13"/>
      <c r="OR74" s="13"/>
      <c r="OS74" s="13"/>
      <c r="OT74" s="13"/>
      <c r="OU74" s="13"/>
      <c r="OV74" s="13"/>
      <c r="OW74" s="13"/>
      <c r="OX74" s="13"/>
      <c r="OY74" s="13"/>
      <c r="OZ74" s="13"/>
      <c r="PA74" s="13"/>
      <c r="PB74" s="13"/>
      <c r="PC74" s="13"/>
      <c r="PD74" s="13"/>
      <c r="PE74" s="13"/>
      <c r="PF74" s="13"/>
      <c r="PG74" s="13"/>
      <c r="PH74" s="13"/>
      <c r="PI74" s="13"/>
      <c r="PJ74" s="13"/>
      <c r="PK74" s="13"/>
      <c r="PL74" s="13"/>
      <c r="PM74" s="13"/>
      <c r="PN74" s="13"/>
      <c r="PO74" s="13"/>
      <c r="PP74" s="13"/>
      <c r="PQ74" s="13"/>
      <c r="PR74" s="13"/>
      <c r="PS74" s="13"/>
      <c r="PT74" s="13"/>
      <c r="PU74" s="13"/>
      <c r="PV74" s="13"/>
      <c r="PW74" s="13"/>
      <c r="PX74" s="13"/>
      <c r="PY74" s="13"/>
      <c r="PZ74" s="13"/>
      <c r="QA74" s="13"/>
      <c r="QB74" s="13"/>
      <c r="QC74" s="13"/>
      <c r="QD74" s="13"/>
      <c r="QE74" s="13"/>
      <c r="QF74" s="13"/>
      <c r="QG74" s="13"/>
      <c r="QH74" s="13"/>
      <c r="QI74" s="13"/>
      <c r="QJ74" s="13"/>
      <c r="QK74" s="13"/>
      <c r="QL74" s="13"/>
      <c r="QM74" s="13"/>
      <c r="QN74" s="13"/>
      <c r="QO74" s="13"/>
      <c r="QP74" s="13"/>
      <c r="QQ74" s="13"/>
      <c r="QR74" s="13"/>
      <c r="QS74" s="13"/>
      <c r="QT74" s="13"/>
      <c r="QU74" s="13"/>
      <c r="QV74" s="13"/>
      <c r="QW74" s="13"/>
      <c r="QX74" s="13"/>
      <c r="QY74" s="13"/>
      <c r="QZ74" s="13"/>
      <c r="RA74" s="13"/>
      <c r="RB74" s="13"/>
      <c r="RC74" s="13"/>
      <c r="RD74" s="13"/>
      <c r="RE74" s="13"/>
      <c r="RF74" s="13"/>
      <c r="RG74" s="13"/>
      <c r="RH74" s="13"/>
      <c r="RI74" s="13"/>
      <c r="RJ74" s="13"/>
      <c r="RK74" s="13"/>
      <c r="RL74" s="13"/>
      <c r="RM74" s="13"/>
      <c r="RN74" s="13"/>
      <c r="RO74" s="13"/>
      <c r="RP74" s="13"/>
      <c r="RQ74" s="13"/>
      <c r="RR74" s="13"/>
      <c r="RS74" s="13"/>
      <c r="RT74" s="13"/>
      <c r="RU74" s="13"/>
      <c r="RV74" s="13"/>
      <c r="RW74" s="13"/>
      <c r="RX74" s="13"/>
      <c r="RY74" s="13"/>
      <c r="RZ74" s="13"/>
      <c r="SA74" s="13"/>
      <c r="SB74" s="13"/>
      <c r="SC74" s="13"/>
      <c r="SD74" s="13"/>
      <c r="SE74" s="13"/>
      <c r="SF74" s="13"/>
      <c r="SG74" s="13"/>
      <c r="SH74" s="13"/>
      <c r="SI74" s="13"/>
      <c r="SJ74" s="13"/>
      <c r="SK74" s="13"/>
      <c r="SL74" s="13"/>
      <c r="SM74" s="13"/>
      <c r="SN74" s="13"/>
      <c r="SO74" s="13"/>
      <c r="SP74" s="13"/>
      <c r="SQ74" s="13"/>
      <c r="SR74" s="13"/>
      <c r="SS74" s="13"/>
      <c r="ST74" s="13"/>
      <c r="SU74" s="13"/>
      <c r="SV74" s="13"/>
      <c r="SW74" s="13"/>
      <c r="SX74" s="13"/>
      <c r="SY74" s="13"/>
      <c r="SZ74" s="13"/>
      <c r="TA74" s="13"/>
      <c r="TB74" s="13"/>
      <c r="TC74" s="13"/>
      <c r="TD74" s="13"/>
      <c r="TE74" s="13"/>
      <c r="TF74" s="13"/>
      <c r="TG74" s="13"/>
      <c r="TH74" s="13"/>
      <c r="TI74" s="13"/>
      <c r="TJ74" s="13"/>
      <c r="TK74" s="13"/>
      <c r="TL74" s="13"/>
      <c r="TM74" s="13"/>
      <c r="TN74" s="13"/>
      <c r="TO74" s="13"/>
      <c r="TP74" s="13"/>
      <c r="TQ74" s="13"/>
      <c r="TR74" s="13"/>
      <c r="TS74" s="13"/>
      <c r="TT74" s="13"/>
      <c r="TU74" s="13"/>
      <c r="TV74" s="13"/>
      <c r="TW74" s="13"/>
      <c r="TX74" s="13"/>
      <c r="TY74" s="13"/>
      <c r="TZ74" s="13"/>
      <c r="UA74" s="13"/>
      <c r="UB74" s="13"/>
      <c r="UC74" s="13"/>
      <c r="UD74" s="13"/>
      <c r="UE74" s="13"/>
      <c r="UF74" s="13"/>
      <c r="UG74" s="13"/>
      <c r="UH74" s="13"/>
      <c r="UI74" s="13"/>
      <c r="UJ74" s="13"/>
      <c r="UK74" s="13"/>
      <c r="UL74" s="13"/>
      <c r="UM74" s="13"/>
      <c r="UN74" s="13"/>
      <c r="UO74" s="13"/>
      <c r="UP74" s="13"/>
      <c r="UQ74" s="13"/>
      <c r="UR74" s="13"/>
      <c r="US74" s="13"/>
      <c r="UT74" s="13"/>
      <c r="UU74" s="13"/>
      <c r="UV74" s="13"/>
      <c r="UW74" s="13"/>
      <c r="UX74" s="13"/>
      <c r="UY74" s="13"/>
      <c r="UZ74" s="13"/>
      <c r="VA74" s="13"/>
      <c r="VB74" s="13"/>
      <c r="VC74" s="13"/>
      <c r="VD74" s="13"/>
      <c r="VE74" s="13"/>
      <c r="VF74" s="13"/>
      <c r="VG74" s="13"/>
      <c r="VH74" s="13"/>
      <c r="VI74" s="13"/>
      <c r="VJ74" s="13"/>
      <c r="VK74" s="13"/>
      <c r="VL74" s="13"/>
      <c r="VM74" s="13"/>
      <c r="VN74" s="13"/>
      <c r="VO74" s="13"/>
      <c r="VP74" s="13"/>
      <c r="VQ74" s="13"/>
      <c r="VR74" s="13"/>
      <c r="VS74" s="13"/>
      <c r="VT74" s="13"/>
    </row>
    <row r="75" spans="1:592" s="13" customFormat="1" ht="63" x14ac:dyDescent="0.2">
      <c r="A75" s="10" t="s">
        <v>346</v>
      </c>
      <c r="B75" s="11">
        <v>71167463</v>
      </c>
      <c r="C75" s="11" t="s">
        <v>324</v>
      </c>
      <c r="D75" s="11">
        <v>3001174</v>
      </c>
      <c r="E75" s="225" t="s">
        <v>285</v>
      </c>
      <c r="F75" s="192" t="s">
        <v>278</v>
      </c>
      <c r="G75" s="201">
        <f>IFERROR(VLOOKUP(D75,List1!$A$5:$B$227,2,FALSE),"0")</f>
        <v>5654000</v>
      </c>
      <c r="H75" s="41" t="str">
        <f>IFERROR(VLOOKUP(D75,List1!$D$5:$E$41,2,FALSE),"0")</f>
        <v>0</v>
      </c>
      <c r="I75" s="41">
        <f>IFERROR(VLOOKUP(D75,List1!$G$5:$H$227,2,FALSE),"0")</f>
        <v>970421</v>
      </c>
      <c r="J75" s="40">
        <f t="shared" si="10"/>
        <v>6624421</v>
      </c>
      <c r="K75" s="41" t="str">
        <f>IFERROR(VLOOKUP(D75,List1!$J$5:$K$227,2,FALSE),"0")</f>
        <v>0</v>
      </c>
      <c r="L75" s="41">
        <f>IFERROR(VLOOKUP(D75,List1!$M$5:$N$112,2,FALSE),"0")</f>
        <v>141000</v>
      </c>
      <c r="M75" s="43">
        <v>0</v>
      </c>
      <c r="N75" s="80">
        <f>VLOOKUP($D$5:$D$251,List2!$A$2:$B$241,2,FALSE)</f>
        <v>0</v>
      </c>
      <c r="O75" s="80">
        <f>IFERROR(VLOOKUP($D$5:$D$260,List1!$Y$5:$Z$244,2,FALSE),0)</f>
        <v>0</v>
      </c>
      <c r="P75" s="202">
        <f>IFERROR(VLOOKUP($D$5:$D$260,List1!$AB$5:$AC$244,2,FALSE),0)</f>
        <v>0</v>
      </c>
      <c r="Q75" s="201">
        <f>IFERROR(VLOOKUP($D$5:$D$260,List1!$S$5:$T$231,2,FALSE),0)</f>
        <v>7680761</v>
      </c>
      <c r="R75" s="41">
        <v>0</v>
      </c>
      <c r="S75" s="41">
        <f>IFERROR(VLOOKUP($D$5:$D$260,List1!$AE$5:$AF$231,2,FALSE),0)</f>
        <v>484607</v>
      </c>
      <c r="T75" s="41">
        <f t="shared" si="11"/>
        <v>8165368</v>
      </c>
      <c r="U75" s="41" t="str">
        <f>IFERROR(VLOOKUP(D75,List1!$P$5:$Q$110,2,FALSE),"0")</f>
        <v>0</v>
      </c>
      <c r="V75" s="41">
        <v>0</v>
      </c>
      <c r="W75" s="248">
        <v>0</v>
      </c>
      <c r="X75" s="211">
        <f t="shared" si="12"/>
        <v>8165368</v>
      </c>
      <c r="Y75" s="219"/>
      <c r="Z75" s="80">
        <f>IFERROR(VLOOKUP($D$5:$D$260,#REF!,3,FALSE),0)</f>
        <v>0</v>
      </c>
      <c r="AA75" s="80">
        <f>IFERROR(VLOOKUP($D$5:$D$260,#REF!,3,FALSE),0)</f>
        <v>0</v>
      </c>
      <c r="AB75" s="243">
        <v>0</v>
      </c>
      <c r="AC75" s="202">
        <f t="shared" si="13"/>
        <v>0</v>
      </c>
      <c r="AD75" s="259">
        <f t="shared" si="14"/>
        <v>0</v>
      </c>
      <c r="AE75" s="260">
        <f t="shared" si="15"/>
        <v>0</v>
      </c>
      <c r="AF75" s="260">
        <f t="shared" si="16"/>
        <v>0</v>
      </c>
      <c r="AG75" s="260">
        <f t="shared" si="17"/>
        <v>0</v>
      </c>
    </row>
    <row r="76" spans="1:592" s="20" customFormat="1" ht="21" x14ac:dyDescent="0.2">
      <c r="A76" s="10" t="s">
        <v>347</v>
      </c>
      <c r="B76" s="11">
        <v>71220020</v>
      </c>
      <c r="C76" s="11" t="s">
        <v>296</v>
      </c>
      <c r="D76" s="11">
        <v>8588423</v>
      </c>
      <c r="E76" s="225" t="s">
        <v>285</v>
      </c>
      <c r="F76" s="192" t="s">
        <v>278</v>
      </c>
      <c r="G76" s="201">
        <f>IFERROR(VLOOKUP(D76,List1!$A$5:$B$227,2,FALSE),"0")</f>
        <v>5543000</v>
      </c>
      <c r="H76" s="41" t="str">
        <f>IFERROR(VLOOKUP(D76,List1!$D$5:$E$41,2,FALSE),"0")</f>
        <v>0</v>
      </c>
      <c r="I76" s="41">
        <f>IFERROR(VLOOKUP(D76,List1!$G$5:$H$227,2,FALSE),"0")</f>
        <v>753231</v>
      </c>
      <c r="J76" s="40">
        <f t="shared" si="10"/>
        <v>6296231</v>
      </c>
      <c r="K76" s="41" t="str">
        <f>IFERROR(VLOOKUP(D76,List1!$J$5:$K$227,2,FALSE),"0")</f>
        <v>0</v>
      </c>
      <c r="L76" s="41" t="str">
        <f>IFERROR(VLOOKUP(D76,List1!$M$5:$N$112,2,FALSE),"0")</f>
        <v>0</v>
      </c>
      <c r="M76" s="43">
        <v>0</v>
      </c>
      <c r="N76" s="80">
        <f>VLOOKUP($D$5:$D$251,List2!$A$2:$B$241,2,FALSE)</f>
        <v>0</v>
      </c>
      <c r="O76" s="80">
        <f>IFERROR(VLOOKUP($D$5:$D$260,List1!$Y$5:$Z$244,2,FALSE),0)</f>
        <v>6296231</v>
      </c>
      <c r="P76" s="202">
        <f>IFERROR(VLOOKUP($D$5:$D$260,List1!$AB$5:$AC$244,2,FALSE),0)</f>
        <v>0</v>
      </c>
      <c r="Q76" s="201">
        <f>IFERROR(VLOOKUP($D$5:$D$260,List1!$S$5:$T$231,2,FALSE),0)</f>
        <v>5298136</v>
      </c>
      <c r="R76" s="41">
        <v>0</v>
      </c>
      <c r="S76" s="41">
        <f>IFERROR(VLOOKUP($D$5:$D$260,List1!$AE$5:$AF$231,2,FALSE),0)</f>
        <v>581533</v>
      </c>
      <c r="T76" s="41">
        <f t="shared" si="11"/>
        <v>5879669</v>
      </c>
      <c r="U76" s="41" t="str">
        <f>IFERROR(VLOOKUP(D76,List1!$P$5:$Q$110,2,FALSE),"0")</f>
        <v>0</v>
      </c>
      <c r="V76" s="41">
        <v>0</v>
      </c>
      <c r="W76" s="248">
        <v>0</v>
      </c>
      <c r="X76" s="211">
        <f t="shared" si="12"/>
        <v>5879669</v>
      </c>
      <c r="Y76" s="219"/>
      <c r="Z76" s="80">
        <f>IFERROR(VLOOKUP($D$5:$D$260,#REF!,3,FALSE),0)</f>
        <v>0</v>
      </c>
      <c r="AA76" s="80">
        <f>IFERROR(VLOOKUP($D$5:$D$260,#REF!,3,FALSE),0)</f>
        <v>0</v>
      </c>
      <c r="AB76" s="243">
        <v>0</v>
      </c>
      <c r="AC76" s="202">
        <f t="shared" si="13"/>
        <v>0</v>
      </c>
      <c r="AD76" s="259">
        <f t="shared" si="14"/>
        <v>0</v>
      </c>
      <c r="AE76" s="260">
        <f t="shared" si="15"/>
        <v>0</v>
      </c>
      <c r="AF76" s="260">
        <f t="shared" si="16"/>
        <v>0</v>
      </c>
      <c r="AG76" s="260">
        <f t="shared" si="17"/>
        <v>0</v>
      </c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  <c r="IW76" s="13"/>
      <c r="IX76" s="13"/>
      <c r="IY76" s="13"/>
      <c r="IZ76" s="13"/>
      <c r="JA76" s="13"/>
      <c r="JB76" s="13"/>
      <c r="JC76" s="13"/>
      <c r="JD76" s="13"/>
      <c r="JE76" s="13"/>
      <c r="JF76" s="13"/>
      <c r="JG76" s="13"/>
      <c r="JH76" s="13"/>
      <c r="JI76" s="13"/>
      <c r="JJ76" s="13"/>
      <c r="JK76" s="13"/>
      <c r="JL76" s="13"/>
      <c r="JM76" s="13"/>
      <c r="JN76" s="13"/>
      <c r="JO76" s="13"/>
      <c r="JP76" s="13"/>
      <c r="JQ76" s="13"/>
      <c r="JR76" s="13"/>
      <c r="JS76" s="13"/>
      <c r="JT76" s="13"/>
      <c r="JU76" s="13"/>
      <c r="JV76" s="13"/>
      <c r="JW76" s="13"/>
      <c r="JX76" s="13"/>
      <c r="JY76" s="13"/>
      <c r="JZ76" s="13"/>
      <c r="KA76" s="13"/>
      <c r="KB76" s="13"/>
      <c r="KC76" s="13"/>
      <c r="KD76" s="13"/>
      <c r="KE76" s="13"/>
      <c r="KF76" s="13"/>
      <c r="KG76" s="13"/>
      <c r="KH76" s="13"/>
      <c r="KI76" s="13"/>
      <c r="KJ76" s="13"/>
      <c r="KK76" s="13"/>
      <c r="KL76" s="13"/>
      <c r="KM76" s="13"/>
      <c r="KN76" s="13"/>
      <c r="KO76" s="13"/>
      <c r="KP76" s="13"/>
      <c r="KQ76" s="13"/>
      <c r="KR76" s="13"/>
      <c r="KS76" s="13"/>
      <c r="KT76" s="13"/>
      <c r="KU76" s="13"/>
      <c r="KV76" s="13"/>
      <c r="KW76" s="13"/>
      <c r="KX76" s="13"/>
      <c r="KY76" s="13"/>
      <c r="KZ76" s="13"/>
      <c r="LA76" s="13"/>
      <c r="LB76" s="13"/>
      <c r="LC76" s="13"/>
      <c r="LD76" s="13"/>
      <c r="LE76" s="13"/>
      <c r="LF76" s="13"/>
      <c r="LG76" s="13"/>
      <c r="LH76" s="13"/>
      <c r="LI76" s="13"/>
      <c r="LJ76" s="13"/>
      <c r="LK76" s="13"/>
      <c r="LL76" s="13"/>
      <c r="LM76" s="13"/>
      <c r="LN76" s="13"/>
      <c r="LO76" s="13"/>
      <c r="LP76" s="13"/>
      <c r="LQ76" s="13"/>
      <c r="LR76" s="13"/>
      <c r="LS76" s="13"/>
      <c r="LT76" s="13"/>
      <c r="LU76" s="13"/>
      <c r="LV76" s="13"/>
      <c r="LW76" s="13"/>
      <c r="LX76" s="13"/>
      <c r="LY76" s="13"/>
      <c r="LZ76" s="13"/>
      <c r="MA76" s="13"/>
      <c r="MB76" s="13"/>
      <c r="MC76" s="13"/>
      <c r="MD76" s="13"/>
      <c r="ME76" s="13"/>
      <c r="MF76" s="13"/>
      <c r="MG76" s="13"/>
      <c r="MH76" s="13"/>
      <c r="MI76" s="13"/>
      <c r="MJ76" s="13"/>
      <c r="MK76" s="13"/>
      <c r="ML76" s="13"/>
      <c r="MM76" s="13"/>
      <c r="MN76" s="13"/>
      <c r="MO76" s="13"/>
      <c r="MP76" s="13"/>
      <c r="MQ76" s="13"/>
      <c r="MR76" s="13"/>
      <c r="MS76" s="13"/>
      <c r="MT76" s="13"/>
      <c r="MU76" s="13"/>
      <c r="MV76" s="13"/>
      <c r="MW76" s="13"/>
      <c r="MX76" s="13"/>
      <c r="MY76" s="13"/>
      <c r="MZ76" s="13"/>
      <c r="NA76" s="13"/>
      <c r="NB76" s="13"/>
      <c r="NC76" s="13"/>
      <c r="ND76" s="13"/>
      <c r="NE76" s="13"/>
      <c r="NF76" s="13"/>
      <c r="NG76" s="13"/>
      <c r="NH76" s="13"/>
      <c r="NI76" s="13"/>
      <c r="NJ76" s="13"/>
      <c r="NK76" s="13"/>
      <c r="NL76" s="13"/>
      <c r="NM76" s="13"/>
      <c r="NN76" s="13"/>
      <c r="NO76" s="13"/>
      <c r="NP76" s="13"/>
      <c r="NQ76" s="13"/>
      <c r="NR76" s="13"/>
      <c r="NS76" s="13"/>
      <c r="NT76" s="13"/>
      <c r="NU76" s="13"/>
      <c r="NV76" s="13"/>
      <c r="NW76" s="13"/>
      <c r="NX76" s="13"/>
      <c r="NY76" s="13"/>
      <c r="NZ76" s="13"/>
      <c r="OA76" s="13"/>
      <c r="OB76" s="13"/>
      <c r="OC76" s="13"/>
      <c r="OD76" s="13"/>
      <c r="OE76" s="13"/>
      <c r="OF76" s="13"/>
      <c r="OG76" s="13"/>
      <c r="OH76" s="13"/>
      <c r="OI76" s="13"/>
      <c r="OJ76" s="13"/>
      <c r="OK76" s="13"/>
      <c r="OL76" s="13"/>
      <c r="OM76" s="13"/>
      <c r="ON76" s="13"/>
      <c r="OO76" s="13"/>
      <c r="OP76" s="13"/>
      <c r="OQ76" s="13"/>
      <c r="OR76" s="13"/>
      <c r="OS76" s="13"/>
      <c r="OT76" s="13"/>
      <c r="OU76" s="13"/>
      <c r="OV76" s="13"/>
      <c r="OW76" s="13"/>
      <c r="OX76" s="13"/>
      <c r="OY76" s="13"/>
      <c r="OZ76" s="13"/>
      <c r="PA76" s="13"/>
      <c r="PB76" s="13"/>
      <c r="PC76" s="13"/>
      <c r="PD76" s="13"/>
      <c r="PE76" s="13"/>
      <c r="PF76" s="13"/>
      <c r="PG76" s="13"/>
      <c r="PH76" s="13"/>
      <c r="PI76" s="13"/>
      <c r="PJ76" s="13"/>
      <c r="PK76" s="13"/>
      <c r="PL76" s="13"/>
      <c r="PM76" s="13"/>
      <c r="PN76" s="13"/>
      <c r="PO76" s="13"/>
      <c r="PP76" s="13"/>
      <c r="PQ76" s="13"/>
      <c r="PR76" s="13"/>
      <c r="PS76" s="13"/>
      <c r="PT76" s="13"/>
      <c r="PU76" s="13"/>
      <c r="PV76" s="13"/>
      <c r="PW76" s="13"/>
      <c r="PX76" s="13"/>
      <c r="PY76" s="13"/>
      <c r="PZ76" s="13"/>
      <c r="QA76" s="13"/>
      <c r="QB76" s="13"/>
      <c r="QC76" s="13"/>
      <c r="QD76" s="13"/>
      <c r="QE76" s="13"/>
      <c r="QF76" s="13"/>
      <c r="QG76" s="13"/>
      <c r="QH76" s="13"/>
      <c r="QI76" s="13"/>
      <c r="QJ76" s="13"/>
      <c r="QK76" s="13"/>
      <c r="QL76" s="13"/>
      <c r="QM76" s="13"/>
      <c r="QN76" s="13"/>
      <c r="QO76" s="13"/>
      <c r="QP76" s="13"/>
      <c r="QQ76" s="13"/>
      <c r="QR76" s="13"/>
      <c r="QS76" s="13"/>
      <c r="QT76" s="13"/>
      <c r="QU76" s="13"/>
      <c r="QV76" s="13"/>
      <c r="QW76" s="13"/>
      <c r="QX76" s="13"/>
      <c r="QY76" s="13"/>
      <c r="QZ76" s="13"/>
      <c r="RA76" s="13"/>
      <c r="RB76" s="13"/>
      <c r="RC76" s="13"/>
      <c r="RD76" s="13"/>
      <c r="RE76" s="13"/>
      <c r="RF76" s="13"/>
      <c r="RG76" s="13"/>
      <c r="RH76" s="13"/>
      <c r="RI76" s="13"/>
      <c r="RJ76" s="13"/>
      <c r="RK76" s="13"/>
      <c r="RL76" s="13"/>
      <c r="RM76" s="13"/>
      <c r="RN76" s="13"/>
      <c r="RO76" s="13"/>
      <c r="RP76" s="13"/>
      <c r="RQ76" s="13"/>
      <c r="RR76" s="13"/>
      <c r="RS76" s="13"/>
      <c r="RT76" s="13"/>
      <c r="RU76" s="13"/>
      <c r="RV76" s="13"/>
      <c r="RW76" s="13"/>
      <c r="RX76" s="13"/>
      <c r="RY76" s="13"/>
      <c r="RZ76" s="13"/>
      <c r="SA76" s="13"/>
      <c r="SB76" s="13"/>
      <c r="SC76" s="13"/>
      <c r="SD76" s="13"/>
      <c r="SE76" s="13"/>
      <c r="SF76" s="13"/>
      <c r="SG76" s="13"/>
      <c r="SH76" s="13"/>
      <c r="SI76" s="13"/>
      <c r="SJ76" s="13"/>
      <c r="SK76" s="13"/>
      <c r="SL76" s="13"/>
      <c r="SM76" s="13"/>
      <c r="SN76" s="13"/>
      <c r="SO76" s="13"/>
      <c r="SP76" s="13"/>
      <c r="SQ76" s="13"/>
      <c r="SR76" s="13"/>
      <c r="SS76" s="13"/>
      <c r="ST76" s="13"/>
      <c r="SU76" s="13"/>
      <c r="SV76" s="13"/>
      <c r="SW76" s="13"/>
      <c r="SX76" s="13"/>
      <c r="SY76" s="13"/>
      <c r="SZ76" s="13"/>
      <c r="TA76" s="13"/>
      <c r="TB76" s="13"/>
      <c r="TC76" s="13"/>
      <c r="TD76" s="13"/>
      <c r="TE76" s="13"/>
      <c r="TF76" s="13"/>
      <c r="TG76" s="13"/>
      <c r="TH76" s="13"/>
      <c r="TI76" s="13"/>
      <c r="TJ76" s="13"/>
      <c r="TK76" s="13"/>
      <c r="TL76" s="13"/>
      <c r="TM76" s="13"/>
      <c r="TN76" s="13"/>
      <c r="TO76" s="13"/>
      <c r="TP76" s="13"/>
      <c r="TQ76" s="13"/>
      <c r="TR76" s="13"/>
      <c r="TS76" s="13"/>
      <c r="TT76" s="13"/>
      <c r="TU76" s="13"/>
      <c r="TV76" s="13"/>
      <c r="TW76" s="13"/>
      <c r="TX76" s="13"/>
      <c r="TY76" s="13"/>
      <c r="TZ76" s="13"/>
      <c r="UA76" s="13"/>
      <c r="UB76" s="13"/>
      <c r="UC76" s="13"/>
      <c r="UD76" s="13"/>
      <c r="UE76" s="13"/>
      <c r="UF76" s="13"/>
      <c r="UG76" s="13"/>
      <c r="UH76" s="13"/>
      <c r="UI76" s="13"/>
      <c r="UJ76" s="13"/>
      <c r="UK76" s="13"/>
      <c r="UL76" s="13"/>
      <c r="UM76" s="13"/>
      <c r="UN76" s="13"/>
      <c r="UO76" s="13"/>
      <c r="UP76" s="13"/>
      <c r="UQ76" s="13"/>
      <c r="UR76" s="13"/>
      <c r="US76" s="13"/>
      <c r="UT76" s="13"/>
      <c r="UU76" s="13"/>
      <c r="UV76" s="13"/>
      <c r="UW76" s="13"/>
      <c r="UX76" s="13"/>
      <c r="UY76" s="13"/>
      <c r="UZ76" s="13"/>
      <c r="VA76" s="13"/>
      <c r="VB76" s="13"/>
      <c r="VC76" s="13"/>
      <c r="VD76" s="13"/>
      <c r="VE76" s="13"/>
      <c r="VF76" s="13"/>
      <c r="VG76" s="13"/>
      <c r="VH76" s="13"/>
      <c r="VI76" s="13"/>
      <c r="VJ76" s="13"/>
      <c r="VK76" s="13"/>
      <c r="VL76" s="13"/>
      <c r="VM76" s="13"/>
      <c r="VN76" s="13"/>
      <c r="VO76" s="13"/>
      <c r="VP76" s="13"/>
      <c r="VQ76" s="13"/>
      <c r="VR76" s="13"/>
      <c r="VS76" s="13"/>
      <c r="VT76" s="13"/>
    </row>
    <row r="77" spans="1:592" s="24" customFormat="1" ht="21" x14ac:dyDescent="0.2">
      <c r="A77" s="10" t="s">
        <v>347</v>
      </c>
      <c r="B77" s="11">
        <v>71220020</v>
      </c>
      <c r="C77" s="11" t="s">
        <v>296</v>
      </c>
      <c r="D77" s="11">
        <v>3139161</v>
      </c>
      <c r="E77" s="225" t="s">
        <v>290</v>
      </c>
      <c r="F77" s="192" t="s">
        <v>278</v>
      </c>
      <c r="G77" s="201">
        <f>IFERROR(VLOOKUP(D77,List1!$A$5:$B$227,2,FALSE),"0")</f>
        <v>10110000</v>
      </c>
      <c r="H77" s="41" t="str">
        <f>IFERROR(VLOOKUP(D77,List1!$D$5:$E$41,2,FALSE),"0")</f>
        <v>0</v>
      </c>
      <c r="I77" s="41">
        <f>IFERROR(VLOOKUP(D77,List1!$G$5:$H$227,2,FALSE),"0")</f>
        <v>1485000</v>
      </c>
      <c r="J77" s="40">
        <f t="shared" si="10"/>
        <v>11595000</v>
      </c>
      <c r="K77" s="41" t="str">
        <f>IFERROR(VLOOKUP(D77,List1!$J$5:$K$227,2,FALSE),"0")</f>
        <v>0</v>
      </c>
      <c r="L77" s="41" t="str">
        <f>IFERROR(VLOOKUP(D77,List1!$M$5:$N$112,2,FALSE),"0")</f>
        <v>0</v>
      </c>
      <c r="M77" s="43">
        <v>0</v>
      </c>
      <c r="N77" s="80">
        <f>VLOOKUP($D$5:$D$251,List2!$A$2:$B$241,2,FALSE)</f>
        <v>0</v>
      </c>
      <c r="O77" s="80">
        <f>IFERROR(VLOOKUP($D$5:$D$260,List1!$Y$5:$Z$244,2,FALSE),0)</f>
        <v>3823884.4</v>
      </c>
      <c r="P77" s="202">
        <f>IFERROR(VLOOKUP($D$5:$D$260,List1!$AB$5:$AC$244,2,FALSE),0)</f>
        <v>0</v>
      </c>
      <c r="Q77" s="201">
        <f>IFERROR(VLOOKUP($D$5:$D$260,List1!$S$5:$T$231,2,FALSE),0)</f>
        <v>10813513</v>
      </c>
      <c r="R77" s="41">
        <v>0</v>
      </c>
      <c r="S77" s="41">
        <f>IFERROR(VLOOKUP($D$5:$D$260,List1!$AE$5:$AF$231,2,FALSE),0)</f>
        <v>581533</v>
      </c>
      <c r="T77" s="41">
        <f t="shared" si="11"/>
        <v>11395046</v>
      </c>
      <c r="U77" s="41" t="str">
        <f>IFERROR(VLOOKUP(D77,List1!$P$5:$Q$110,2,FALSE),"0")</f>
        <v>0</v>
      </c>
      <c r="V77" s="41">
        <v>0</v>
      </c>
      <c r="W77" s="248">
        <v>0</v>
      </c>
      <c r="X77" s="211">
        <f t="shared" si="12"/>
        <v>11395046</v>
      </c>
      <c r="Y77" s="219"/>
      <c r="Z77" s="80">
        <f>IFERROR(VLOOKUP($D$5:$D$260,#REF!,3,FALSE),0)</f>
        <v>0</v>
      </c>
      <c r="AA77" s="80">
        <f>IFERROR(VLOOKUP($D$5:$D$260,#REF!,3,FALSE),0)</f>
        <v>0</v>
      </c>
      <c r="AB77" s="243">
        <v>0</v>
      </c>
      <c r="AC77" s="202">
        <f t="shared" si="13"/>
        <v>0</v>
      </c>
      <c r="AD77" s="259">
        <f t="shared" si="14"/>
        <v>0</v>
      </c>
      <c r="AE77" s="260">
        <f t="shared" si="15"/>
        <v>0</v>
      </c>
      <c r="AF77" s="260">
        <f t="shared" si="16"/>
        <v>0</v>
      </c>
      <c r="AG77" s="260">
        <f t="shared" si="17"/>
        <v>0</v>
      </c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F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  <c r="KS77" s="23"/>
      <c r="KT77" s="23"/>
      <c r="KU77" s="23"/>
      <c r="KV77" s="23"/>
      <c r="KW77" s="23"/>
      <c r="KX77" s="23"/>
      <c r="KY77" s="23"/>
      <c r="KZ77" s="23"/>
      <c r="LA77" s="23"/>
      <c r="LB77" s="23"/>
      <c r="LC77" s="23"/>
      <c r="LD77" s="23"/>
      <c r="LE77" s="23"/>
      <c r="LF77" s="23"/>
      <c r="LG77" s="23"/>
      <c r="LH77" s="23"/>
      <c r="LI77" s="23"/>
      <c r="LJ77" s="23"/>
      <c r="LK77" s="23"/>
      <c r="LL77" s="23"/>
      <c r="LM77" s="23"/>
      <c r="LN77" s="23"/>
      <c r="LO77" s="23"/>
      <c r="LP77" s="23"/>
      <c r="LQ77" s="23"/>
      <c r="LR77" s="23"/>
      <c r="LS77" s="23"/>
      <c r="LT77" s="23"/>
      <c r="LU77" s="23"/>
      <c r="LV77" s="23"/>
      <c r="LW77" s="23"/>
      <c r="LX77" s="23"/>
      <c r="LY77" s="23"/>
      <c r="LZ77" s="23"/>
      <c r="MA77" s="23"/>
      <c r="MB77" s="23"/>
      <c r="MC77" s="23"/>
      <c r="MD77" s="23"/>
      <c r="ME77" s="23"/>
      <c r="MF77" s="23"/>
      <c r="MG77" s="23"/>
      <c r="MH77" s="23"/>
      <c r="MI77" s="23"/>
      <c r="MJ77" s="23"/>
      <c r="MK77" s="23"/>
      <c r="ML77" s="23"/>
      <c r="MM77" s="23"/>
      <c r="MN77" s="23"/>
      <c r="MO77" s="23"/>
      <c r="MP77" s="23"/>
      <c r="MQ77" s="23"/>
      <c r="MR77" s="23"/>
      <c r="MS77" s="23"/>
      <c r="MT77" s="23"/>
      <c r="MU77" s="23"/>
      <c r="MV77" s="23"/>
      <c r="MW77" s="23"/>
      <c r="MX77" s="23"/>
      <c r="MY77" s="23"/>
      <c r="MZ77" s="23"/>
      <c r="NA77" s="23"/>
      <c r="NB77" s="23"/>
      <c r="NC77" s="23"/>
      <c r="ND77" s="23"/>
      <c r="NE77" s="23"/>
      <c r="NF77" s="23"/>
      <c r="NG77" s="23"/>
      <c r="NH77" s="23"/>
      <c r="NI77" s="23"/>
      <c r="NJ77" s="23"/>
      <c r="NK77" s="23"/>
      <c r="NL77" s="23"/>
      <c r="NM77" s="23"/>
      <c r="NN77" s="23"/>
      <c r="NO77" s="23"/>
      <c r="NP77" s="23"/>
      <c r="NQ77" s="23"/>
      <c r="NR77" s="23"/>
      <c r="NS77" s="23"/>
      <c r="NT77" s="23"/>
      <c r="NU77" s="23"/>
      <c r="NV77" s="23"/>
      <c r="NW77" s="23"/>
      <c r="NX77" s="23"/>
      <c r="NY77" s="23"/>
      <c r="NZ77" s="23"/>
      <c r="OA77" s="23"/>
      <c r="OB77" s="23"/>
      <c r="OC77" s="23"/>
      <c r="OD77" s="23"/>
      <c r="OE77" s="23"/>
      <c r="OF77" s="23"/>
      <c r="OG77" s="23"/>
      <c r="OH77" s="23"/>
      <c r="OI77" s="23"/>
      <c r="OJ77" s="23"/>
      <c r="OK77" s="23"/>
      <c r="OL77" s="23"/>
      <c r="OM77" s="23"/>
      <c r="ON77" s="23"/>
      <c r="OO77" s="23"/>
      <c r="OP77" s="23"/>
      <c r="OQ77" s="23"/>
      <c r="OR77" s="23"/>
      <c r="OS77" s="23"/>
      <c r="OT77" s="23"/>
      <c r="OU77" s="23"/>
      <c r="OV77" s="23"/>
      <c r="OW77" s="23"/>
      <c r="OX77" s="23"/>
      <c r="OY77" s="23"/>
      <c r="OZ77" s="23"/>
      <c r="PA77" s="23"/>
      <c r="PB77" s="23"/>
      <c r="PC77" s="23"/>
      <c r="PD77" s="23"/>
      <c r="PE77" s="23"/>
      <c r="PF77" s="23"/>
      <c r="PG77" s="23"/>
      <c r="PH77" s="23"/>
      <c r="PI77" s="23"/>
      <c r="PJ77" s="23"/>
      <c r="PK77" s="23"/>
      <c r="PL77" s="23"/>
      <c r="PM77" s="23"/>
      <c r="PN77" s="23"/>
      <c r="PO77" s="23"/>
      <c r="PP77" s="23"/>
      <c r="PQ77" s="23"/>
      <c r="PR77" s="23"/>
      <c r="PS77" s="23"/>
      <c r="PT77" s="23"/>
      <c r="PU77" s="23"/>
      <c r="PV77" s="23"/>
      <c r="PW77" s="23"/>
      <c r="PX77" s="23"/>
      <c r="PY77" s="23"/>
      <c r="PZ77" s="23"/>
      <c r="QA77" s="23"/>
      <c r="QB77" s="23"/>
      <c r="QC77" s="23"/>
      <c r="QD77" s="23"/>
      <c r="QE77" s="23"/>
      <c r="QF77" s="23"/>
      <c r="QG77" s="23"/>
      <c r="QH77" s="23"/>
      <c r="QI77" s="23"/>
      <c r="QJ77" s="23"/>
      <c r="QK77" s="23"/>
      <c r="QL77" s="23"/>
      <c r="QM77" s="23"/>
      <c r="QN77" s="23"/>
      <c r="QO77" s="23"/>
      <c r="QP77" s="23"/>
      <c r="QQ77" s="23"/>
      <c r="QR77" s="23"/>
      <c r="QS77" s="23"/>
      <c r="QT77" s="23"/>
      <c r="QU77" s="23"/>
      <c r="QV77" s="23"/>
      <c r="QW77" s="23"/>
      <c r="QX77" s="23"/>
      <c r="QY77" s="23"/>
      <c r="QZ77" s="23"/>
      <c r="RA77" s="23"/>
      <c r="RB77" s="23"/>
      <c r="RC77" s="23"/>
      <c r="RD77" s="23"/>
      <c r="RE77" s="23"/>
      <c r="RF77" s="23"/>
      <c r="RG77" s="23"/>
      <c r="RH77" s="23"/>
      <c r="RI77" s="23"/>
      <c r="RJ77" s="23"/>
      <c r="RK77" s="23"/>
      <c r="RL77" s="23"/>
      <c r="RM77" s="23"/>
      <c r="RN77" s="23"/>
      <c r="RO77" s="23"/>
      <c r="RP77" s="23"/>
      <c r="RQ77" s="23"/>
      <c r="RR77" s="23"/>
      <c r="RS77" s="23"/>
      <c r="RT77" s="23"/>
      <c r="RU77" s="23"/>
      <c r="RV77" s="23"/>
      <c r="RW77" s="23"/>
      <c r="RX77" s="23"/>
      <c r="RY77" s="23"/>
      <c r="RZ77" s="23"/>
      <c r="SA77" s="23"/>
      <c r="SB77" s="23"/>
      <c r="SC77" s="23"/>
      <c r="SD77" s="23"/>
      <c r="SE77" s="23"/>
      <c r="SF77" s="23"/>
      <c r="SG77" s="23"/>
      <c r="SH77" s="23"/>
      <c r="SI77" s="23"/>
      <c r="SJ77" s="23"/>
      <c r="SK77" s="23"/>
      <c r="SL77" s="23"/>
      <c r="SM77" s="23"/>
      <c r="SN77" s="23"/>
      <c r="SO77" s="23"/>
      <c r="SP77" s="23"/>
      <c r="SQ77" s="23"/>
      <c r="SR77" s="23"/>
      <c r="SS77" s="23"/>
      <c r="ST77" s="23"/>
      <c r="SU77" s="23"/>
      <c r="SV77" s="23"/>
      <c r="SW77" s="23"/>
      <c r="SX77" s="23"/>
      <c r="SY77" s="23"/>
      <c r="SZ77" s="23"/>
      <c r="TA77" s="23"/>
      <c r="TB77" s="23"/>
      <c r="TC77" s="23"/>
      <c r="TD77" s="23"/>
      <c r="TE77" s="23"/>
      <c r="TF77" s="23"/>
      <c r="TG77" s="23"/>
      <c r="TH77" s="23"/>
      <c r="TI77" s="23"/>
      <c r="TJ77" s="23"/>
      <c r="TK77" s="23"/>
      <c r="TL77" s="23"/>
      <c r="TM77" s="23"/>
      <c r="TN77" s="23"/>
      <c r="TO77" s="23"/>
      <c r="TP77" s="23"/>
      <c r="TQ77" s="23"/>
      <c r="TR77" s="23"/>
      <c r="TS77" s="23"/>
      <c r="TT77" s="23"/>
      <c r="TU77" s="23"/>
      <c r="TV77" s="23"/>
      <c r="TW77" s="23"/>
      <c r="TX77" s="23"/>
      <c r="TY77" s="23"/>
      <c r="TZ77" s="23"/>
      <c r="UA77" s="23"/>
      <c r="UB77" s="23"/>
      <c r="UC77" s="23"/>
      <c r="UD77" s="23"/>
      <c r="UE77" s="23"/>
      <c r="UF77" s="23"/>
      <c r="UG77" s="23"/>
      <c r="UH77" s="23"/>
      <c r="UI77" s="23"/>
      <c r="UJ77" s="23"/>
      <c r="UK77" s="23"/>
      <c r="UL77" s="23"/>
      <c r="UM77" s="23"/>
      <c r="UN77" s="23"/>
      <c r="UO77" s="23"/>
      <c r="UP77" s="23"/>
      <c r="UQ77" s="23"/>
      <c r="UR77" s="23"/>
      <c r="US77" s="23"/>
      <c r="UT77" s="23"/>
      <c r="UU77" s="23"/>
      <c r="UV77" s="23"/>
      <c r="UW77" s="23"/>
      <c r="UX77" s="23"/>
      <c r="UY77" s="23"/>
      <c r="UZ77" s="23"/>
      <c r="VA77" s="23"/>
      <c r="VB77" s="23"/>
      <c r="VC77" s="23"/>
      <c r="VD77" s="23"/>
      <c r="VE77" s="23"/>
      <c r="VF77" s="23"/>
      <c r="VG77" s="23"/>
      <c r="VH77" s="23"/>
      <c r="VI77" s="23"/>
      <c r="VJ77" s="23"/>
      <c r="VK77" s="23"/>
      <c r="VL77" s="23"/>
      <c r="VM77" s="23"/>
      <c r="VN77" s="23"/>
      <c r="VO77" s="23"/>
      <c r="VP77" s="23"/>
      <c r="VQ77" s="23"/>
      <c r="VR77" s="23"/>
      <c r="VS77" s="23"/>
      <c r="VT77" s="23"/>
    </row>
    <row r="78" spans="1:592" s="13" customFormat="1" ht="21" x14ac:dyDescent="0.2">
      <c r="A78" s="10" t="s">
        <v>348</v>
      </c>
      <c r="B78" s="11">
        <v>71220011</v>
      </c>
      <c r="C78" s="11" t="s">
        <v>296</v>
      </c>
      <c r="D78" s="11">
        <v>9139875</v>
      </c>
      <c r="E78" s="225" t="s">
        <v>285</v>
      </c>
      <c r="F78" s="192" t="s">
        <v>278</v>
      </c>
      <c r="G78" s="201">
        <f>IFERROR(VLOOKUP(D78,List1!$A$5:$B$227,2,FALSE),"0")</f>
        <v>8321000</v>
      </c>
      <c r="H78" s="41" t="str">
        <f>IFERROR(VLOOKUP(D78,List1!$D$5:$E$41,2,FALSE),"0")</f>
        <v>0</v>
      </c>
      <c r="I78" s="41">
        <f>IFERROR(VLOOKUP(D78,List1!$G$5:$H$227,2,FALSE),"0")</f>
        <v>646947</v>
      </c>
      <c r="J78" s="40">
        <f t="shared" si="10"/>
        <v>8967947</v>
      </c>
      <c r="K78" s="41" t="str">
        <f>IFERROR(VLOOKUP(D78,List1!$J$5:$K$227,2,FALSE),"0")</f>
        <v>0</v>
      </c>
      <c r="L78" s="41" t="str">
        <f>IFERROR(VLOOKUP(D78,List1!$M$5:$N$112,2,FALSE),"0")</f>
        <v>0</v>
      </c>
      <c r="M78" s="43">
        <v>0</v>
      </c>
      <c r="N78" s="80">
        <f>VLOOKUP($D$5:$D$251,List2!$A$2:$B$241,2,FALSE)</f>
        <v>0</v>
      </c>
      <c r="O78" s="80">
        <f>IFERROR(VLOOKUP($D$5:$D$260,List1!$Y$5:$Z$244,2,FALSE),0)</f>
        <v>3735900</v>
      </c>
      <c r="P78" s="202">
        <f>IFERROR(VLOOKUP($D$5:$D$260,List1!$AB$5:$AC$244,2,FALSE),0)</f>
        <v>0</v>
      </c>
      <c r="Q78" s="201">
        <f>IFERROR(VLOOKUP($D$5:$D$260,List1!$S$5:$T$231,2,FALSE),0)</f>
        <v>7212235</v>
      </c>
      <c r="R78" s="41">
        <v>0</v>
      </c>
      <c r="S78" s="41">
        <f>IFERROR(VLOOKUP($D$5:$D$260,List1!$AE$5:$AF$231,2,FALSE),0)</f>
        <v>484611</v>
      </c>
      <c r="T78" s="41">
        <f t="shared" si="11"/>
        <v>7696846</v>
      </c>
      <c r="U78" s="41" t="str">
        <f>IFERROR(VLOOKUP(D78,List1!$P$5:$Q$110,2,FALSE),"0")</f>
        <v>0</v>
      </c>
      <c r="V78" s="41">
        <v>0</v>
      </c>
      <c r="W78" s="248">
        <v>0</v>
      </c>
      <c r="X78" s="211">
        <f t="shared" si="12"/>
        <v>7696846</v>
      </c>
      <c r="Y78" s="219"/>
      <c r="Z78" s="80">
        <f>IFERROR(VLOOKUP($D$5:$D$260,#REF!,3,FALSE),0)</f>
        <v>0</v>
      </c>
      <c r="AA78" s="80">
        <f>IFERROR(VLOOKUP($D$5:$D$260,#REF!,3,FALSE),0)</f>
        <v>0</v>
      </c>
      <c r="AB78" s="243">
        <v>0</v>
      </c>
      <c r="AC78" s="202">
        <f t="shared" si="13"/>
        <v>0</v>
      </c>
      <c r="AD78" s="259">
        <f t="shared" si="14"/>
        <v>0</v>
      </c>
      <c r="AE78" s="260">
        <f t="shared" si="15"/>
        <v>0</v>
      </c>
      <c r="AF78" s="260">
        <f t="shared" si="16"/>
        <v>0</v>
      </c>
      <c r="AG78" s="260">
        <f t="shared" si="17"/>
        <v>0</v>
      </c>
    </row>
    <row r="79" spans="1:592" s="13" customFormat="1" ht="21" x14ac:dyDescent="0.2">
      <c r="A79" s="10" t="s">
        <v>348</v>
      </c>
      <c r="B79" s="11">
        <v>71220011</v>
      </c>
      <c r="C79" s="11" t="s">
        <v>296</v>
      </c>
      <c r="D79" s="11">
        <v>4654168</v>
      </c>
      <c r="E79" s="225" t="s">
        <v>290</v>
      </c>
      <c r="F79" s="192" t="s">
        <v>278</v>
      </c>
      <c r="G79" s="201">
        <f>IFERROR(VLOOKUP(D79,List1!$A$5:$B$227,2,FALSE),"0")</f>
        <v>6074000</v>
      </c>
      <c r="H79" s="41" t="str">
        <f>IFERROR(VLOOKUP(D79,List1!$D$5:$E$41,2,FALSE),"0")</f>
        <v>0</v>
      </c>
      <c r="I79" s="41" t="str">
        <f>IFERROR(VLOOKUP(D79,List1!$G$5:$H$227,2,FALSE),"0")</f>
        <v>0</v>
      </c>
      <c r="J79" s="40">
        <f t="shared" si="10"/>
        <v>6074000</v>
      </c>
      <c r="K79" s="41" t="str">
        <f>IFERROR(VLOOKUP(D79,List1!$J$5:$K$227,2,FALSE),"0")</f>
        <v>0</v>
      </c>
      <c r="L79" s="41" t="str">
        <f>IFERROR(VLOOKUP(D79,List1!$M$5:$N$112,2,FALSE),"0")</f>
        <v>0</v>
      </c>
      <c r="M79" s="43">
        <v>0</v>
      </c>
      <c r="N79" s="80">
        <f>VLOOKUP($D$5:$D$251,List2!$A$2:$B$241,2,FALSE)</f>
        <v>0</v>
      </c>
      <c r="O79" s="80">
        <f>IFERROR(VLOOKUP($D$5:$D$260,List1!$Y$5:$Z$244,2,FALSE),0)</f>
        <v>2490660</v>
      </c>
      <c r="P79" s="202">
        <f>IFERROR(VLOOKUP($D$5:$D$260,List1!$AB$5:$AC$244,2,FALSE),0)</f>
        <v>0</v>
      </c>
      <c r="Q79" s="201">
        <f>IFERROR(VLOOKUP($D$5:$D$260,List1!$S$5:$T$231,2,FALSE),0)</f>
        <v>8832875</v>
      </c>
      <c r="R79" s="41">
        <v>0</v>
      </c>
      <c r="S79" s="41">
        <f>IFERROR(VLOOKUP($D$5:$D$260,List1!$AE$5:$AF$231,2,FALSE),0)</f>
        <v>290766</v>
      </c>
      <c r="T79" s="41">
        <f t="shared" si="11"/>
        <v>9123641</v>
      </c>
      <c r="U79" s="41" t="str">
        <f>IFERROR(VLOOKUP(D79,List1!$P$5:$Q$110,2,FALSE),"0")</f>
        <v>0</v>
      </c>
      <c r="V79" s="41">
        <v>0</v>
      </c>
      <c r="W79" s="248">
        <v>0</v>
      </c>
      <c r="X79" s="211">
        <f t="shared" si="12"/>
        <v>9123641</v>
      </c>
      <c r="Y79" s="219"/>
      <c r="Z79" s="80">
        <f>IFERROR(VLOOKUP($D$5:$D$260,#REF!,3,FALSE),0)</f>
        <v>0</v>
      </c>
      <c r="AA79" s="80">
        <f>IFERROR(VLOOKUP($D$5:$D$260,#REF!,3,FALSE),0)</f>
        <v>0</v>
      </c>
      <c r="AB79" s="243">
        <v>0</v>
      </c>
      <c r="AC79" s="202">
        <f t="shared" si="13"/>
        <v>0</v>
      </c>
      <c r="AD79" s="259">
        <f t="shared" si="14"/>
        <v>0</v>
      </c>
      <c r="AE79" s="260">
        <f t="shared" si="15"/>
        <v>0</v>
      </c>
      <c r="AF79" s="260">
        <f t="shared" si="16"/>
        <v>0</v>
      </c>
      <c r="AG79" s="260">
        <f t="shared" si="17"/>
        <v>0</v>
      </c>
    </row>
    <row r="80" spans="1:592" s="13" customFormat="1" ht="31.5" x14ac:dyDescent="0.2">
      <c r="A80" s="10" t="s">
        <v>349</v>
      </c>
      <c r="B80" s="11">
        <v>71220046</v>
      </c>
      <c r="C80" s="11" t="s">
        <v>296</v>
      </c>
      <c r="D80" s="11">
        <v>9450071</v>
      </c>
      <c r="E80" s="225" t="s">
        <v>285</v>
      </c>
      <c r="F80" s="192" t="s">
        <v>278</v>
      </c>
      <c r="G80" s="201">
        <f>IFERROR(VLOOKUP(D80,List1!$A$5:$B$227,2,FALSE),"0")</f>
        <v>4433000</v>
      </c>
      <c r="H80" s="41" t="str">
        <f>IFERROR(VLOOKUP(D80,List1!$D$5:$E$41,2,FALSE),"0")</f>
        <v>0</v>
      </c>
      <c r="I80" s="41">
        <f>IFERROR(VLOOKUP(D80,List1!$G$5:$H$227,2,FALSE),"0")</f>
        <v>778185</v>
      </c>
      <c r="J80" s="40">
        <f t="shared" si="10"/>
        <v>5211185</v>
      </c>
      <c r="K80" s="41" t="str">
        <f>IFERROR(VLOOKUP(D80,List1!$J$5:$K$227,2,FALSE),"0")</f>
        <v>0</v>
      </c>
      <c r="L80" s="41" t="str">
        <f>IFERROR(VLOOKUP(D80,List1!$M$5:$N$112,2,FALSE),"0")</f>
        <v>0</v>
      </c>
      <c r="M80" s="43">
        <v>0</v>
      </c>
      <c r="N80" s="80">
        <f>VLOOKUP($D$5:$D$251,List2!$A$2:$B$241,2,FALSE)</f>
        <v>0</v>
      </c>
      <c r="O80" s="80">
        <f>IFERROR(VLOOKUP($D$5:$D$260,List1!$Y$5:$Z$244,2,FALSE),0)</f>
        <v>2224063</v>
      </c>
      <c r="P80" s="202">
        <f>IFERROR(VLOOKUP($D$5:$D$260,List1!$AB$5:$AC$244,2,FALSE),0)</f>
        <v>0</v>
      </c>
      <c r="Q80" s="201">
        <f>IFERROR(VLOOKUP($D$5:$D$260,List1!$S$5:$T$231,2,FALSE),0)</f>
        <v>3238455</v>
      </c>
      <c r="R80" s="41">
        <v>0</v>
      </c>
      <c r="S80" s="41">
        <f>IFERROR(VLOOKUP($D$5:$D$260,List1!$AE$5:$AF$231,2,FALSE),0)</f>
        <v>775377</v>
      </c>
      <c r="T80" s="41">
        <f t="shared" si="11"/>
        <v>4013832</v>
      </c>
      <c r="U80" s="41" t="str">
        <f>IFERROR(VLOOKUP(D80,List1!$P$5:$Q$110,2,FALSE),"0")</f>
        <v>0</v>
      </c>
      <c r="V80" s="41">
        <v>0</v>
      </c>
      <c r="W80" s="248">
        <v>0</v>
      </c>
      <c r="X80" s="211">
        <f t="shared" si="12"/>
        <v>4013832</v>
      </c>
      <c r="Y80" s="219"/>
      <c r="Z80" s="80">
        <f>IFERROR(VLOOKUP($D$5:$D$260,#REF!,3,FALSE),0)</f>
        <v>0</v>
      </c>
      <c r="AA80" s="80">
        <f>IFERROR(VLOOKUP($D$5:$D$260,#REF!,3,FALSE),0)</f>
        <v>0</v>
      </c>
      <c r="AB80" s="243">
        <v>0</v>
      </c>
      <c r="AC80" s="202">
        <f t="shared" si="13"/>
        <v>0</v>
      </c>
      <c r="AD80" s="259">
        <f t="shared" si="14"/>
        <v>0</v>
      </c>
      <c r="AE80" s="260">
        <f t="shared" si="15"/>
        <v>0</v>
      </c>
      <c r="AF80" s="260">
        <f t="shared" si="16"/>
        <v>0</v>
      </c>
      <c r="AG80" s="260">
        <f t="shared" si="17"/>
        <v>0</v>
      </c>
    </row>
    <row r="81" spans="1:592" s="13" customFormat="1" ht="31.5" x14ac:dyDescent="0.2">
      <c r="A81" s="10" t="s">
        <v>349</v>
      </c>
      <c r="B81" s="11">
        <v>71220046</v>
      </c>
      <c r="C81" s="11" t="s">
        <v>296</v>
      </c>
      <c r="D81" s="11">
        <v>9266427</v>
      </c>
      <c r="E81" s="225" t="s">
        <v>290</v>
      </c>
      <c r="F81" s="192" t="s">
        <v>278</v>
      </c>
      <c r="G81" s="201">
        <f>IFERROR(VLOOKUP(D81,List1!$A$5:$B$227,2,FALSE),"0")</f>
        <v>13231000</v>
      </c>
      <c r="H81" s="41">
        <f>IFERROR(VLOOKUP(D81,List1!$D$5:$E$41,2,FALSE),"0")</f>
        <v>598874</v>
      </c>
      <c r="I81" s="41">
        <f>IFERROR(VLOOKUP(D81,List1!$G$5:$H$227,2,FALSE),"0")</f>
        <v>2644000</v>
      </c>
      <c r="J81" s="40">
        <f t="shared" si="10"/>
        <v>16473874</v>
      </c>
      <c r="K81" s="41" t="str">
        <f>IFERROR(VLOOKUP(D81,List1!$J$5:$K$227,2,FALSE),"0")</f>
        <v>0</v>
      </c>
      <c r="L81" s="41" t="str">
        <f>IFERROR(VLOOKUP(D81,List1!$M$5:$N$112,2,FALSE),"0")</f>
        <v>0</v>
      </c>
      <c r="M81" s="43">
        <v>0</v>
      </c>
      <c r="N81" s="80">
        <f>VLOOKUP($D$5:$D$251,List2!$A$2:$B$241,2,FALSE)</f>
        <v>0</v>
      </c>
      <c r="O81" s="80">
        <f>IFERROR(VLOOKUP($D$5:$D$260,List1!$Y$5:$Z$244,2,FALSE),0)</f>
        <v>3526412</v>
      </c>
      <c r="P81" s="202">
        <f>IFERROR(VLOOKUP($D$5:$D$260,List1!$AB$5:$AC$244,2,FALSE),0)</f>
        <v>0</v>
      </c>
      <c r="Q81" s="201">
        <f>IFERROR(VLOOKUP($D$5:$D$260,List1!$S$5:$T$231,2,FALSE),0)</f>
        <v>12085217</v>
      </c>
      <c r="R81" s="41">
        <v>0</v>
      </c>
      <c r="S81" s="41">
        <f>IFERROR(VLOOKUP($D$5:$D$260,List1!$AE$5:$AF$231,2,FALSE),0)</f>
        <v>193844</v>
      </c>
      <c r="T81" s="41">
        <f t="shared" si="11"/>
        <v>12279061</v>
      </c>
      <c r="U81" s="41" t="str">
        <f>IFERROR(VLOOKUP(D81,List1!$P$5:$Q$110,2,FALSE),"0")</f>
        <v>0</v>
      </c>
      <c r="V81" s="41">
        <v>0</v>
      </c>
      <c r="W81" s="248">
        <v>0</v>
      </c>
      <c r="X81" s="211">
        <f t="shared" si="12"/>
        <v>12279061</v>
      </c>
      <c r="Y81" s="219"/>
      <c r="Z81" s="80">
        <f>IFERROR(VLOOKUP($D$5:$D$260,#REF!,3,FALSE),0)</f>
        <v>0</v>
      </c>
      <c r="AA81" s="80">
        <f>IFERROR(VLOOKUP($D$5:$D$260,#REF!,3,FALSE),0)</f>
        <v>0</v>
      </c>
      <c r="AB81" s="243">
        <v>0</v>
      </c>
      <c r="AC81" s="202">
        <f t="shared" si="13"/>
        <v>0</v>
      </c>
      <c r="AD81" s="259">
        <f t="shared" si="14"/>
        <v>0</v>
      </c>
      <c r="AE81" s="260">
        <f t="shared" si="15"/>
        <v>0</v>
      </c>
      <c r="AF81" s="260">
        <f t="shared" si="16"/>
        <v>0</v>
      </c>
      <c r="AG81" s="260">
        <f t="shared" si="17"/>
        <v>0</v>
      </c>
    </row>
    <row r="82" spans="1:592" s="20" customFormat="1" ht="21" x14ac:dyDescent="0.2">
      <c r="A82" s="10" t="s">
        <v>350</v>
      </c>
      <c r="B82" s="15" t="s">
        <v>351</v>
      </c>
      <c r="C82" s="11" t="s">
        <v>296</v>
      </c>
      <c r="D82" s="11">
        <v>2522751</v>
      </c>
      <c r="E82" s="225" t="s">
        <v>285</v>
      </c>
      <c r="F82" s="192" t="s">
        <v>278</v>
      </c>
      <c r="G82" s="201">
        <f>IFERROR(VLOOKUP(D82,List1!$A$5:$B$227,2,FALSE),"0")</f>
        <v>8571000</v>
      </c>
      <c r="H82" s="41" t="str">
        <f>IFERROR(VLOOKUP(D82,List1!$D$5:$E$41,2,FALSE),"0")</f>
        <v>0</v>
      </c>
      <c r="I82" s="41">
        <f>IFERROR(VLOOKUP(D82,List1!$G$5:$H$227,2,FALSE),"0")</f>
        <v>1829936</v>
      </c>
      <c r="J82" s="40">
        <f t="shared" si="10"/>
        <v>10400936</v>
      </c>
      <c r="K82" s="41" t="str">
        <f>IFERROR(VLOOKUP(D82,List1!$J$5:$K$227,2,FALSE),"0")</f>
        <v>0</v>
      </c>
      <c r="L82" s="41" t="str">
        <f>IFERROR(VLOOKUP(D82,List1!$M$5:$N$112,2,FALSE),"0")</f>
        <v>0</v>
      </c>
      <c r="M82" s="43">
        <v>0</v>
      </c>
      <c r="N82" s="80">
        <f>VLOOKUP($D$5:$D$251,List2!$A$2:$B$241,2,FALSE)</f>
        <v>0</v>
      </c>
      <c r="O82" s="80">
        <f>IFERROR(VLOOKUP($D$5:$D$260,List1!$Y$5:$Z$244,2,FALSE),0)</f>
        <v>3547167</v>
      </c>
      <c r="P82" s="202">
        <f>IFERROR(VLOOKUP($D$5:$D$260,List1!$AB$5:$AC$244,2,FALSE),0)</f>
        <v>0</v>
      </c>
      <c r="Q82" s="201">
        <f>IFERROR(VLOOKUP($D$5:$D$260,List1!$S$5:$T$231,2,FALSE),0)</f>
        <v>7737696</v>
      </c>
      <c r="R82" s="41">
        <v>0</v>
      </c>
      <c r="S82" s="41">
        <f>IFERROR(VLOOKUP($D$5:$D$260,List1!$AE$5:$AF$231,2,FALSE),0)</f>
        <v>1938442</v>
      </c>
      <c r="T82" s="41">
        <f t="shared" si="11"/>
        <v>9676138</v>
      </c>
      <c r="U82" s="41" t="str">
        <f>IFERROR(VLOOKUP(D82,List1!$P$5:$Q$110,2,FALSE),"0")</f>
        <v>0</v>
      </c>
      <c r="V82" s="41">
        <v>0</v>
      </c>
      <c r="W82" s="248">
        <v>0</v>
      </c>
      <c r="X82" s="211">
        <f t="shared" si="12"/>
        <v>9676138</v>
      </c>
      <c r="Y82" s="219"/>
      <c r="Z82" s="80">
        <f>IFERROR(VLOOKUP($D$5:$D$260,#REF!,3,FALSE),0)</f>
        <v>0</v>
      </c>
      <c r="AA82" s="80">
        <f>IFERROR(VLOOKUP($D$5:$D$260,#REF!,3,FALSE),0)</f>
        <v>0</v>
      </c>
      <c r="AB82" s="243">
        <v>0</v>
      </c>
      <c r="AC82" s="202">
        <f t="shared" si="13"/>
        <v>0</v>
      </c>
      <c r="AD82" s="259">
        <f t="shared" si="14"/>
        <v>0</v>
      </c>
      <c r="AE82" s="260">
        <f t="shared" si="15"/>
        <v>0</v>
      </c>
      <c r="AF82" s="260">
        <f t="shared" si="16"/>
        <v>0</v>
      </c>
      <c r="AG82" s="260">
        <f t="shared" si="17"/>
        <v>0</v>
      </c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  <c r="IW82" s="13"/>
      <c r="IX82" s="13"/>
      <c r="IY82" s="13"/>
      <c r="IZ82" s="13"/>
      <c r="JA82" s="13"/>
      <c r="JB82" s="13"/>
      <c r="JC82" s="13"/>
      <c r="JD82" s="13"/>
      <c r="JE82" s="13"/>
      <c r="JF82" s="13"/>
      <c r="JG82" s="13"/>
      <c r="JH82" s="13"/>
      <c r="JI82" s="13"/>
      <c r="JJ82" s="13"/>
      <c r="JK82" s="13"/>
      <c r="JL82" s="13"/>
      <c r="JM82" s="13"/>
      <c r="JN82" s="13"/>
      <c r="JO82" s="13"/>
      <c r="JP82" s="13"/>
      <c r="JQ82" s="13"/>
      <c r="JR82" s="13"/>
      <c r="JS82" s="13"/>
      <c r="JT82" s="13"/>
      <c r="JU82" s="13"/>
      <c r="JV82" s="13"/>
      <c r="JW82" s="13"/>
      <c r="JX82" s="13"/>
      <c r="JY82" s="13"/>
      <c r="JZ82" s="13"/>
      <c r="KA82" s="13"/>
      <c r="KB82" s="13"/>
      <c r="KC82" s="13"/>
      <c r="KD82" s="13"/>
      <c r="KE82" s="13"/>
      <c r="KF82" s="13"/>
      <c r="KG82" s="13"/>
      <c r="KH82" s="13"/>
      <c r="KI82" s="13"/>
      <c r="KJ82" s="13"/>
      <c r="KK82" s="13"/>
      <c r="KL82" s="13"/>
      <c r="KM82" s="13"/>
      <c r="KN82" s="13"/>
      <c r="KO82" s="13"/>
      <c r="KP82" s="13"/>
      <c r="KQ82" s="13"/>
      <c r="KR82" s="13"/>
      <c r="KS82" s="13"/>
      <c r="KT82" s="13"/>
      <c r="KU82" s="13"/>
      <c r="KV82" s="13"/>
      <c r="KW82" s="13"/>
      <c r="KX82" s="13"/>
      <c r="KY82" s="13"/>
      <c r="KZ82" s="13"/>
      <c r="LA82" s="13"/>
      <c r="LB82" s="13"/>
      <c r="LC82" s="13"/>
      <c r="LD82" s="13"/>
      <c r="LE82" s="13"/>
      <c r="LF82" s="13"/>
      <c r="LG82" s="13"/>
      <c r="LH82" s="13"/>
      <c r="LI82" s="13"/>
      <c r="LJ82" s="13"/>
      <c r="LK82" s="13"/>
      <c r="LL82" s="13"/>
      <c r="LM82" s="13"/>
      <c r="LN82" s="13"/>
      <c r="LO82" s="13"/>
      <c r="LP82" s="13"/>
      <c r="LQ82" s="13"/>
      <c r="LR82" s="13"/>
      <c r="LS82" s="13"/>
      <c r="LT82" s="13"/>
      <c r="LU82" s="13"/>
      <c r="LV82" s="13"/>
      <c r="LW82" s="13"/>
      <c r="LX82" s="13"/>
      <c r="LY82" s="13"/>
      <c r="LZ82" s="13"/>
      <c r="MA82" s="13"/>
      <c r="MB82" s="13"/>
      <c r="MC82" s="13"/>
      <c r="MD82" s="13"/>
      <c r="ME82" s="13"/>
      <c r="MF82" s="13"/>
      <c r="MG82" s="13"/>
      <c r="MH82" s="13"/>
      <c r="MI82" s="13"/>
      <c r="MJ82" s="13"/>
      <c r="MK82" s="13"/>
      <c r="ML82" s="13"/>
      <c r="MM82" s="13"/>
      <c r="MN82" s="13"/>
      <c r="MO82" s="13"/>
      <c r="MP82" s="13"/>
      <c r="MQ82" s="13"/>
      <c r="MR82" s="13"/>
      <c r="MS82" s="13"/>
      <c r="MT82" s="13"/>
      <c r="MU82" s="13"/>
      <c r="MV82" s="13"/>
      <c r="MW82" s="13"/>
      <c r="MX82" s="13"/>
      <c r="MY82" s="13"/>
      <c r="MZ82" s="13"/>
      <c r="NA82" s="13"/>
      <c r="NB82" s="13"/>
      <c r="NC82" s="13"/>
      <c r="ND82" s="13"/>
      <c r="NE82" s="13"/>
      <c r="NF82" s="13"/>
      <c r="NG82" s="13"/>
      <c r="NH82" s="13"/>
      <c r="NI82" s="13"/>
      <c r="NJ82" s="13"/>
      <c r="NK82" s="13"/>
      <c r="NL82" s="13"/>
      <c r="NM82" s="13"/>
      <c r="NN82" s="13"/>
      <c r="NO82" s="13"/>
      <c r="NP82" s="13"/>
      <c r="NQ82" s="13"/>
      <c r="NR82" s="13"/>
      <c r="NS82" s="13"/>
      <c r="NT82" s="13"/>
      <c r="NU82" s="13"/>
      <c r="NV82" s="13"/>
      <c r="NW82" s="13"/>
      <c r="NX82" s="13"/>
      <c r="NY82" s="13"/>
      <c r="NZ82" s="13"/>
      <c r="OA82" s="13"/>
      <c r="OB82" s="13"/>
      <c r="OC82" s="13"/>
      <c r="OD82" s="13"/>
      <c r="OE82" s="13"/>
      <c r="OF82" s="13"/>
      <c r="OG82" s="13"/>
      <c r="OH82" s="13"/>
      <c r="OI82" s="13"/>
      <c r="OJ82" s="13"/>
      <c r="OK82" s="13"/>
      <c r="OL82" s="13"/>
      <c r="OM82" s="13"/>
      <c r="ON82" s="13"/>
      <c r="OO82" s="13"/>
      <c r="OP82" s="13"/>
      <c r="OQ82" s="13"/>
      <c r="OR82" s="13"/>
      <c r="OS82" s="13"/>
      <c r="OT82" s="13"/>
      <c r="OU82" s="13"/>
      <c r="OV82" s="13"/>
      <c r="OW82" s="13"/>
      <c r="OX82" s="13"/>
      <c r="OY82" s="13"/>
      <c r="OZ82" s="13"/>
      <c r="PA82" s="13"/>
      <c r="PB82" s="13"/>
      <c r="PC82" s="13"/>
      <c r="PD82" s="13"/>
      <c r="PE82" s="13"/>
      <c r="PF82" s="13"/>
      <c r="PG82" s="13"/>
      <c r="PH82" s="13"/>
      <c r="PI82" s="13"/>
      <c r="PJ82" s="13"/>
      <c r="PK82" s="13"/>
      <c r="PL82" s="13"/>
      <c r="PM82" s="13"/>
      <c r="PN82" s="13"/>
      <c r="PO82" s="13"/>
      <c r="PP82" s="13"/>
      <c r="PQ82" s="13"/>
      <c r="PR82" s="13"/>
      <c r="PS82" s="13"/>
      <c r="PT82" s="13"/>
      <c r="PU82" s="13"/>
      <c r="PV82" s="13"/>
      <c r="PW82" s="13"/>
      <c r="PX82" s="13"/>
      <c r="PY82" s="13"/>
      <c r="PZ82" s="13"/>
      <c r="QA82" s="13"/>
      <c r="QB82" s="13"/>
      <c r="QC82" s="13"/>
      <c r="QD82" s="13"/>
      <c r="QE82" s="13"/>
      <c r="QF82" s="13"/>
      <c r="QG82" s="13"/>
      <c r="QH82" s="13"/>
      <c r="QI82" s="13"/>
      <c r="QJ82" s="13"/>
      <c r="QK82" s="13"/>
      <c r="QL82" s="13"/>
      <c r="QM82" s="13"/>
      <c r="QN82" s="13"/>
      <c r="QO82" s="13"/>
      <c r="QP82" s="13"/>
      <c r="QQ82" s="13"/>
      <c r="QR82" s="13"/>
      <c r="QS82" s="13"/>
      <c r="QT82" s="13"/>
      <c r="QU82" s="13"/>
      <c r="QV82" s="13"/>
      <c r="QW82" s="13"/>
      <c r="QX82" s="13"/>
      <c r="QY82" s="13"/>
      <c r="QZ82" s="13"/>
      <c r="RA82" s="13"/>
      <c r="RB82" s="13"/>
      <c r="RC82" s="13"/>
      <c r="RD82" s="13"/>
      <c r="RE82" s="13"/>
      <c r="RF82" s="13"/>
      <c r="RG82" s="13"/>
      <c r="RH82" s="13"/>
      <c r="RI82" s="13"/>
      <c r="RJ82" s="13"/>
      <c r="RK82" s="13"/>
      <c r="RL82" s="13"/>
      <c r="RM82" s="13"/>
      <c r="RN82" s="13"/>
      <c r="RO82" s="13"/>
      <c r="RP82" s="13"/>
      <c r="RQ82" s="13"/>
      <c r="RR82" s="13"/>
      <c r="RS82" s="13"/>
      <c r="RT82" s="13"/>
      <c r="RU82" s="13"/>
      <c r="RV82" s="13"/>
      <c r="RW82" s="13"/>
      <c r="RX82" s="13"/>
      <c r="RY82" s="13"/>
      <c r="RZ82" s="13"/>
      <c r="SA82" s="13"/>
      <c r="SB82" s="13"/>
      <c r="SC82" s="13"/>
      <c r="SD82" s="13"/>
      <c r="SE82" s="13"/>
      <c r="SF82" s="13"/>
      <c r="SG82" s="13"/>
      <c r="SH82" s="13"/>
      <c r="SI82" s="13"/>
      <c r="SJ82" s="13"/>
      <c r="SK82" s="13"/>
      <c r="SL82" s="13"/>
      <c r="SM82" s="13"/>
      <c r="SN82" s="13"/>
      <c r="SO82" s="13"/>
      <c r="SP82" s="13"/>
      <c r="SQ82" s="13"/>
      <c r="SR82" s="13"/>
      <c r="SS82" s="13"/>
      <c r="ST82" s="13"/>
      <c r="SU82" s="13"/>
      <c r="SV82" s="13"/>
      <c r="SW82" s="13"/>
      <c r="SX82" s="13"/>
      <c r="SY82" s="13"/>
      <c r="SZ82" s="13"/>
      <c r="TA82" s="13"/>
      <c r="TB82" s="13"/>
      <c r="TC82" s="13"/>
      <c r="TD82" s="13"/>
      <c r="TE82" s="13"/>
      <c r="TF82" s="13"/>
      <c r="TG82" s="13"/>
      <c r="TH82" s="13"/>
      <c r="TI82" s="13"/>
      <c r="TJ82" s="13"/>
      <c r="TK82" s="13"/>
      <c r="TL82" s="13"/>
      <c r="TM82" s="13"/>
      <c r="TN82" s="13"/>
      <c r="TO82" s="13"/>
      <c r="TP82" s="13"/>
      <c r="TQ82" s="13"/>
      <c r="TR82" s="13"/>
      <c r="TS82" s="13"/>
      <c r="TT82" s="13"/>
      <c r="TU82" s="13"/>
      <c r="TV82" s="13"/>
      <c r="TW82" s="13"/>
      <c r="TX82" s="13"/>
      <c r="TY82" s="13"/>
      <c r="TZ82" s="13"/>
      <c r="UA82" s="13"/>
      <c r="UB82" s="13"/>
      <c r="UC82" s="13"/>
      <c r="UD82" s="13"/>
      <c r="UE82" s="13"/>
      <c r="UF82" s="13"/>
      <c r="UG82" s="13"/>
      <c r="UH82" s="13"/>
      <c r="UI82" s="13"/>
      <c r="UJ82" s="13"/>
      <c r="UK82" s="13"/>
      <c r="UL82" s="13"/>
      <c r="UM82" s="13"/>
      <c r="UN82" s="13"/>
      <c r="UO82" s="13"/>
      <c r="UP82" s="13"/>
      <c r="UQ82" s="13"/>
      <c r="UR82" s="13"/>
      <c r="US82" s="13"/>
      <c r="UT82" s="13"/>
      <c r="UU82" s="13"/>
      <c r="UV82" s="13"/>
      <c r="UW82" s="13"/>
      <c r="UX82" s="13"/>
      <c r="UY82" s="13"/>
      <c r="UZ82" s="13"/>
      <c r="VA82" s="13"/>
      <c r="VB82" s="13"/>
      <c r="VC82" s="13"/>
      <c r="VD82" s="13"/>
      <c r="VE82" s="13"/>
      <c r="VF82" s="13"/>
      <c r="VG82" s="13"/>
      <c r="VH82" s="13"/>
      <c r="VI82" s="13"/>
      <c r="VJ82" s="13"/>
      <c r="VK82" s="13"/>
      <c r="VL82" s="13"/>
      <c r="VM82" s="13"/>
      <c r="VN82" s="13"/>
      <c r="VO82" s="13"/>
      <c r="VP82" s="13"/>
      <c r="VQ82" s="13"/>
      <c r="VR82" s="13"/>
      <c r="VS82" s="13"/>
      <c r="VT82" s="13"/>
    </row>
    <row r="83" spans="1:592" s="20" customFormat="1" ht="21" x14ac:dyDescent="0.2">
      <c r="A83" s="10" t="s">
        <v>350</v>
      </c>
      <c r="B83" s="15" t="s">
        <v>351</v>
      </c>
      <c r="C83" s="11" t="s">
        <v>296</v>
      </c>
      <c r="D83" s="11">
        <v>8760544</v>
      </c>
      <c r="E83" s="225" t="s">
        <v>290</v>
      </c>
      <c r="F83" s="192" t="s">
        <v>278</v>
      </c>
      <c r="G83" s="201">
        <f>IFERROR(VLOOKUP(D83,List1!$A$5:$B$227,2,FALSE),"0")</f>
        <v>9180000</v>
      </c>
      <c r="H83" s="41">
        <f>IFERROR(VLOOKUP(D83,List1!$D$5:$E$41,2,FALSE),"0")</f>
        <v>1816080</v>
      </c>
      <c r="I83" s="41">
        <f>IFERROR(VLOOKUP(D83,List1!$G$5:$H$227,2,FALSE),"0")</f>
        <v>1350000</v>
      </c>
      <c r="J83" s="40">
        <f t="shared" si="10"/>
        <v>12346080</v>
      </c>
      <c r="K83" s="41" t="str">
        <f>IFERROR(VLOOKUP(D83,List1!$J$5:$K$227,2,FALSE),"0")</f>
        <v>0</v>
      </c>
      <c r="L83" s="41" t="str">
        <f>IFERROR(VLOOKUP(D83,List1!$M$5:$N$112,2,FALSE),"0")</f>
        <v>0</v>
      </c>
      <c r="M83" s="43">
        <v>0</v>
      </c>
      <c r="N83" s="80">
        <f>VLOOKUP($D$5:$D$251,List2!$A$2:$B$241,2,FALSE)</f>
        <v>0</v>
      </c>
      <c r="O83" s="80">
        <f>IFERROR(VLOOKUP($D$5:$D$260,List1!$Y$5:$Z$244,2,FALSE),0)</f>
        <v>2261437</v>
      </c>
      <c r="P83" s="202">
        <f>IFERROR(VLOOKUP($D$5:$D$260,List1!$AB$5:$AC$244,2,FALSE),0)</f>
        <v>0</v>
      </c>
      <c r="Q83" s="201">
        <f>IFERROR(VLOOKUP($D$5:$D$260,List1!$S$5:$T$231,2,FALSE),0)</f>
        <v>9396715</v>
      </c>
      <c r="R83" s="41">
        <v>0</v>
      </c>
      <c r="S83" s="41">
        <f>IFERROR(VLOOKUP($D$5:$D$260,List1!$AE$5:$AF$231,2,FALSE),0)</f>
        <v>193844</v>
      </c>
      <c r="T83" s="41">
        <f t="shared" si="11"/>
        <v>9590559</v>
      </c>
      <c r="U83" s="41" t="str">
        <f>IFERROR(VLOOKUP(D83,List1!$P$5:$Q$110,2,FALSE),"0")</f>
        <v>0</v>
      </c>
      <c r="V83" s="41">
        <v>0</v>
      </c>
      <c r="W83" s="248">
        <v>0</v>
      </c>
      <c r="X83" s="211">
        <f t="shared" si="12"/>
        <v>9590559</v>
      </c>
      <c r="Y83" s="219"/>
      <c r="Z83" s="80">
        <f>IFERROR(VLOOKUP($D$5:$D$260,#REF!,3,FALSE),0)</f>
        <v>0</v>
      </c>
      <c r="AA83" s="80">
        <f>IFERROR(VLOOKUP($D$5:$D$260,#REF!,3,FALSE),0)</f>
        <v>0</v>
      </c>
      <c r="AB83" s="243">
        <v>0</v>
      </c>
      <c r="AC83" s="202">
        <f t="shared" si="13"/>
        <v>0</v>
      </c>
      <c r="AD83" s="259">
        <f t="shared" si="14"/>
        <v>0</v>
      </c>
      <c r="AE83" s="260">
        <f t="shared" si="15"/>
        <v>0</v>
      </c>
      <c r="AF83" s="260">
        <f t="shared" si="16"/>
        <v>0</v>
      </c>
      <c r="AG83" s="260">
        <f t="shared" si="17"/>
        <v>0</v>
      </c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  <c r="IX83" s="13"/>
      <c r="IY83" s="13"/>
      <c r="IZ83" s="13"/>
      <c r="JA83" s="13"/>
      <c r="JB83" s="13"/>
      <c r="JC83" s="13"/>
      <c r="JD83" s="13"/>
      <c r="JE83" s="13"/>
      <c r="JF83" s="13"/>
      <c r="JG83" s="13"/>
      <c r="JH83" s="13"/>
      <c r="JI83" s="13"/>
      <c r="JJ83" s="13"/>
      <c r="JK83" s="13"/>
      <c r="JL83" s="13"/>
      <c r="JM83" s="13"/>
      <c r="JN83" s="13"/>
      <c r="JO83" s="13"/>
      <c r="JP83" s="13"/>
      <c r="JQ83" s="13"/>
      <c r="JR83" s="13"/>
      <c r="JS83" s="13"/>
      <c r="JT83" s="13"/>
      <c r="JU83" s="13"/>
      <c r="JV83" s="13"/>
      <c r="JW83" s="13"/>
      <c r="JX83" s="13"/>
      <c r="JY83" s="13"/>
      <c r="JZ83" s="13"/>
      <c r="KA83" s="13"/>
      <c r="KB83" s="13"/>
      <c r="KC83" s="13"/>
      <c r="KD83" s="13"/>
      <c r="KE83" s="13"/>
      <c r="KF83" s="13"/>
      <c r="KG83" s="13"/>
      <c r="KH83" s="13"/>
      <c r="KI83" s="13"/>
      <c r="KJ83" s="13"/>
      <c r="KK83" s="13"/>
      <c r="KL83" s="13"/>
      <c r="KM83" s="13"/>
      <c r="KN83" s="13"/>
      <c r="KO83" s="13"/>
      <c r="KP83" s="13"/>
      <c r="KQ83" s="13"/>
      <c r="KR83" s="13"/>
      <c r="KS83" s="13"/>
      <c r="KT83" s="13"/>
      <c r="KU83" s="13"/>
      <c r="KV83" s="13"/>
      <c r="KW83" s="13"/>
      <c r="KX83" s="13"/>
      <c r="KY83" s="13"/>
      <c r="KZ83" s="13"/>
      <c r="LA83" s="13"/>
      <c r="LB83" s="13"/>
      <c r="LC83" s="13"/>
      <c r="LD83" s="13"/>
      <c r="LE83" s="13"/>
      <c r="LF83" s="13"/>
      <c r="LG83" s="13"/>
      <c r="LH83" s="13"/>
      <c r="LI83" s="13"/>
      <c r="LJ83" s="13"/>
      <c r="LK83" s="13"/>
      <c r="LL83" s="13"/>
      <c r="LM83" s="13"/>
      <c r="LN83" s="13"/>
      <c r="LO83" s="13"/>
      <c r="LP83" s="13"/>
      <c r="LQ83" s="13"/>
      <c r="LR83" s="13"/>
      <c r="LS83" s="13"/>
      <c r="LT83" s="13"/>
      <c r="LU83" s="13"/>
      <c r="LV83" s="13"/>
      <c r="LW83" s="13"/>
      <c r="LX83" s="13"/>
      <c r="LY83" s="13"/>
      <c r="LZ83" s="13"/>
      <c r="MA83" s="13"/>
      <c r="MB83" s="13"/>
      <c r="MC83" s="13"/>
      <c r="MD83" s="13"/>
      <c r="ME83" s="13"/>
      <c r="MF83" s="13"/>
      <c r="MG83" s="13"/>
      <c r="MH83" s="13"/>
      <c r="MI83" s="13"/>
      <c r="MJ83" s="13"/>
      <c r="MK83" s="13"/>
      <c r="ML83" s="13"/>
      <c r="MM83" s="13"/>
      <c r="MN83" s="13"/>
      <c r="MO83" s="13"/>
      <c r="MP83" s="13"/>
      <c r="MQ83" s="13"/>
      <c r="MR83" s="13"/>
      <c r="MS83" s="13"/>
      <c r="MT83" s="13"/>
      <c r="MU83" s="13"/>
      <c r="MV83" s="13"/>
      <c r="MW83" s="13"/>
      <c r="MX83" s="13"/>
      <c r="MY83" s="13"/>
      <c r="MZ83" s="13"/>
      <c r="NA83" s="13"/>
      <c r="NB83" s="13"/>
      <c r="NC83" s="13"/>
      <c r="ND83" s="13"/>
      <c r="NE83" s="13"/>
      <c r="NF83" s="13"/>
      <c r="NG83" s="13"/>
      <c r="NH83" s="13"/>
      <c r="NI83" s="13"/>
      <c r="NJ83" s="13"/>
      <c r="NK83" s="13"/>
      <c r="NL83" s="13"/>
      <c r="NM83" s="13"/>
      <c r="NN83" s="13"/>
      <c r="NO83" s="13"/>
      <c r="NP83" s="13"/>
      <c r="NQ83" s="13"/>
      <c r="NR83" s="13"/>
      <c r="NS83" s="13"/>
      <c r="NT83" s="13"/>
      <c r="NU83" s="13"/>
      <c r="NV83" s="13"/>
      <c r="NW83" s="13"/>
      <c r="NX83" s="13"/>
      <c r="NY83" s="13"/>
      <c r="NZ83" s="13"/>
      <c r="OA83" s="13"/>
      <c r="OB83" s="13"/>
      <c r="OC83" s="13"/>
      <c r="OD83" s="13"/>
      <c r="OE83" s="13"/>
      <c r="OF83" s="13"/>
      <c r="OG83" s="13"/>
      <c r="OH83" s="13"/>
      <c r="OI83" s="13"/>
      <c r="OJ83" s="13"/>
      <c r="OK83" s="13"/>
      <c r="OL83" s="13"/>
      <c r="OM83" s="13"/>
      <c r="ON83" s="13"/>
      <c r="OO83" s="13"/>
      <c r="OP83" s="13"/>
      <c r="OQ83" s="13"/>
      <c r="OR83" s="13"/>
      <c r="OS83" s="13"/>
      <c r="OT83" s="13"/>
      <c r="OU83" s="13"/>
      <c r="OV83" s="13"/>
      <c r="OW83" s="13"/>
      <c r="OX83" s="13"/>
      <c r="OY83" s="13"/>
      <c r="OZ83" s="13"/>
      <c r="PA83" s="13"/>
      <c r="PB83" s="13"/>
      <c r="PC83" s="13"/>
      <c r="PD83" s="13"/>
      <c r="PE83" s="13"/>
      <c r="PF83" s="13"/>
      <c r="PG83" s="13"/>
      <c r="PH83" s="13"/>
      <c r="PI83" s="13"/>
      <c r="PJ83" s="13"/>
      <c r="PK83" s="13"/>
      <c r="PL83" s="13"/>
      <c r="PM83" s="13"/>
      <c r="PN83" s="13"/>
      <c r="PO83" s="13"/>
      <c r="PP83" s="13"/>
      <c r="PQ83" s="13"/>
      <c r="PR83" s="13"/>
      <c r="PS83" s="13"/>
      <c r="PT83" s="13"/>
      <c r="PU83" s="13"/>
      <c r="PV83" s="13"/>
      <c r="PW83" s="13"/>
      <c r="PX83" s="13"/>
      <c r="PY83" s="13"/>
      <c r="PZ83" s="13"/>
      <c r="QA83" s="13"/>
      <c r="QB83" s="13"/>
      <c r="QC83" s="13"/>
      <c r="QD83" s="13"/>
      <c r="QE83" s="13"/>
      <c r="QF83" s="13"/>
      <c r="QG83" s="13"/>
      <c r="QH83" s="13"/>
      <c r="QI83" s="13"/>
      <c r="QJ83" s="13"/>
      <c r="QK83" s="13"/>
      <c r="QL83" s="13"/>
      <c r="QM83" s="13"/>
      <c r="QN83" s="13"/>
      <c r="QO83" s="13"/>
      <c r="QP83" s="13"/>
      <c r="QQ83" s="13"/>
      <c r="QR83" s="13"/>
      <c r="QS83" s="13"/>
      <c r="QT83" s="13"/>
      <c r="QU83" s="13"/>
      <c r="QV83" s="13"/>
      <c r="QW83" s="13"/>
      <c r="QX83" s="13"/>
      <c r="QY83" s="13"/>
      <c r="QZ83" s="13"/>
      <c r="RA83" s="13"/>
      <c r="RB83" s="13"/>
      <c r="RC83" s="13"/>
      <c r="RD83" s="13"/>
      <c r="RE83" s="13"/>
      <c r="RF83" s="13"/>
      <c r="RG83" s="13"/>
      <c r="RH83" s="13"/>
      <c r="RI83" s="13"/>
      <c r="RJ83" s="13"/>
      <c r="RK83" s="13"/>
      <c r="RL83" s="13"/>
      <c r="RM83" s="13"/>
      <c r="RN83" s="13"/>
      <c r="RO83" s="13"/>
      <c r="RP83" s="13"/>
      <c r="RQ83" s="13"/>
      <c r="RR83" s="13"/>
      <c r="RS83" s="13"/>
      <c r="RT83" s="13"/>
      <c r="RU83" s="13"/>
      <c r="RV83" s="13"/>
      <c r="RW83" s="13"/>
      <c r="RX83" s="13"/>
      <c r="RY83" s="13"/>
      <c r="RZ83" s="13"/>
      <c r="SA83" s="13"/>
      <c r="SB83" s="13"/>
      <c r="SC83" s="13"/>
      <c r="SD83" s="13"/>
      <c r="SE83" s="13"/>
      <c r="SF83" s="13"/>
      <c r="SG83" s="13"/>
      <c r="SH83" s="13"/>
      <c r="SI83" s="13"/>
      <c r="SJ83" s="13"/>
      <c r="SK83" s="13"/>
      <c r="SL83" s="13"/>
      <c r="SM83" s="13"/>
      <c r="SN83" s="13"/>
      <c r="SO83" s="13"/>
      <c r="SP83" s="13"/>
      <c r="SQ83" s="13"/>
      <c r="SR83" s="13"/>
      <c r="SS83" s="13"/>
      <c r="ST83" s="13"/>
      <c r="SU83" s="13"/>
      <c r="SV83" s="13"/>
      <c r="SW83" s="13"/>
      <c r="SX83" s="13"/>
      <c r="SY83" s="13"/>
      <c r="SZ83" s="13"/>
      <c r="TA83" s="13"/>
      <c r="TB83" s="13"/>
      <c r="TC83" s="13"/>
      <c r="TD83" s="13"/>
      <c r="TE83" s="13"/>
      <c r="TF83" s="13"/>
      <c r="TG83" s="13"/>
      <c r="TH83" s="13"/>
      <c r="TI83" s="13"/>
      <c r="TJ83" s="13"/>
      <c r="TK83" s="13"/>
      <c r="TL83" s="13"/>
      <c r="TM83" s="13"/>
      <c r="TN83" s="13"/>
      <c r="TO83" s="13"/>
      <c r="TP83" s="13"/>
      <c r="TQ83" s="13"/>
      <c r="TR83" s="13"/>
      <c r="TS83" s="13"/>
      <c r="TT83" s="13"/>
      <c r="TU83" s="13"/>
      <c r="TV83" s="13"/>
      <c r="TW83" s="13"/>
      <c r="TX83" s="13"/>
      <c r="TY83" s="13"/>
      <c r="TZ83" s="13"/>
      <c r="UA83" s="13"/>
      <c r="UB83" s="13"/>
      <c r="UC83" s="13"/>
      <c r="UD83" s="13"/>
      <c r="UE83" s="13"/>
      <c r="UF83" s="13"/>
      <c r="UG83" s="13"/>
      <c r="UH83" s="13"/>
      <c r="UI83" s="13"/>
      <c r="UJ83" s="13"/>
      <c r="UK83" s="13"/>
      <c r="UL83" s="13"/>
      <c r="UM83" s="13"/>
      <c r="UN83" s="13"/>
      <c r="UO83" s="13"/>
      <c r="UP83" s="13"/>
      <c r="UQ83" s="13"/>
      <c r="UR83" s="13"/>
      <c r="US83" s="13"/>
      <c r="UT83" s="13"/>
      <c r="UU83" s="13"/>
      <c r="UV83" s="13"/>
      <c r="UW83" s="13"/>
      <c r="UX83" s="13"/>
      <c r="UY83" s="13"/>
      <c r="UZ83" s="13"/>
      <c r="VA83" s="13"/>
      <c r="VB83" s="13"/>
      <c r="VC83" s="13"/>
      <c r="VD83" s="13"/>
      <c r="VE83" s="13"/>
      <c r="VF83" s="13"/>
      <c r="VG83" s="13"/>
      <c r="VH83" s="13"/>
      <c r="VI83" s="13"/>
      <c r="VJ83" s="13"/>
      <c r="VK83" s="13"/>
      <c r="VL83" s="13"/>
      <c r="VM83" s="13"/>
      <c r="VN83" s="13"/>
      <c r="VO83" s="13"/>
      <c r="VP83" s="13"/>
      <c r="VQ83" s="13"/>
      <c r="VR83" s="13"/>
      <c r="VS83" s="13"/>
      <c r="VT83" s="13"/>
    </row>
    <row r="84" spans="1:592" s="25" customFormat="1" ht="31.5" x14ac:dyDescent="0.2">
      <c r="A84" s="10" t="s">
        <v>352</v>
      </c>
      <c r="B84" s="11">
        <v>48282928</v>
      </c>
      <c r="C84" s="11" t="s">
        <v>296</v>
      </c>
      <c r="D84" s="11">
        <v>9835515</v>
      </c>
      <c r="E84" s="225" t="s">
        <v>290</v>
      </c>
      <c r="F84" s="192" t="s">
        <v>278</v>
      </c>
      <c r="G84" s="201">
        <f>IFERROR(VLOOKUP(D84,List1!$A$5:$B$227,2,FALSE),"0")</f>
        <v>13424000</v>
      </c>
      <c r="H84" s="41">
        <f>IFERROR(VLOOKUP(D84,List1!$D$5:$E$41,2,FALSE),"0")</f>
        <v>1509405</v>
      </c>
      <c r="I84" s="41">
        <f>IFERROR(VLOOKUP(D84,List1!$G$5:$H$227,2,FALSE),"0")</f>
        <v>1740935</v>
      </c>
      <c r="J84" s="40">
        <f t="shared" si="10"/>
        <v>16674340</v>
      </c>
      <c r="K84" s="41" t="str">
        <f>IFERROR(VLOOKUP(D84,List1!$J$5:$K$227,2,FALSE),"0")</f>
        <v>0</v>
      </c>
      <c r="L84" s="41" t="str">
        <f>IFERROR(VLOOKUP(D84,List1!$M$5:$N$112,2,FALSE),"0")</f>
        <v>0</v>
      </c>
      <c r="M84" s="43">
        <v>0</v>
      </c>
      <c r="N84" s="80">
        <f>VLOOKUP($D$5:$D$251,List2!$A$2:$B$241,2,FALSE)</f>
        <v>0</v>
      </c>
      <c r="O84" s="80">
        <f>IFERROR(VLOOKUP($D$5:$D$260,List1!$Y$5:$Z$244,2,FALSE),0)</f>
        <v>5468158.4400000004</v>
      </c>
      <c r="P84" s="202">
        <f>IFERROR(VLOOKUP($D$5:$D$260,List1!$AB$5:$AC$244,2,FALSE),0)</f>
        <v>0</v>
      </c>
      <c r="Q84" s="201">
        <f>IFERROR(VLOOKUP($D$5:$D$260,List1!$S$5:$T$231,2,FALSE),0)</f>
        <v>12352610</v>
      </c>
      <c r="R84" s="41">
        <v>0</v>
      </c>
      <c r="S84" s="41">
        <f>IFERROR(VLOOKUP($D$5:$D$260,List1!$AE$5:$AF$231,2,FALSE),0)</f>
        <v>1066143</v>
      </c>
      <c r="T84" s="41">
        <f t="shared" si="11"/>
        <v>13418753</v>
      </c>
      <c r="U84" s="41" t="str">
        <f>IFERROR(VLOOKUP(D84,List1!$P$5:$Q$110,2,FALSE),"0")</f>
        <v>0</v>
      </c>
      <c r="V84" s="41">
        <v>0</v>
      </c>
      <c r="W84" s="248">
        <v>0</v>
      </c>
      <c r="X84" s="211">
        <f t="shared" si="12"/>
        <v>13418753</v>
      </c>
      <c r="Y84" s="219"/>
      <c r="Z84" s="80">
        <f>IFERROR(VLOOKUP($D$5:$D$260,#REF!,3,FALSE),0)</f>
        <v>0</v>
      </c>
      <c r="AA84" s="80">
        <f>IFERROR(VLOOKUP($D$5:$D$260,#REF!,3,FALSE),0)</f>
        <v>0</v>
      </c>
      <c r="AB84" s="243">
        <v>0</v>
      </c>
      <c r="AC84" s="202">
        <f t="shared" si="13"/>
        <v>0</v>
      </c>
      <c r="AD84" s="259">
        <f t="shared" si="14"/>
        <v>0</v>
      </c>
      <c r="AE84" s="260">
        <f t="shared" si="15"/>
        <v>0</v>
      </c>
      <c r="AF84" s="260">
        <f t="shared" si="16"/>
        <v>0</v>
      </c>
      <c r="AG84" s="260">
        <f t="shared" si="17"/>
        <v>0</v>
      </c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  <c r="IX84" s="13"/>
      <c r="IY84" s="13"/>
      <c r="IZ84" s="13"/>
      <c r="JA84" s="13"/>
      <c r="JB84" s="13"/>
      <c r="JC84" s="13"/>
      <c r="JD84" s="13"/>
      <c r="JE84" s="13"/>
      <c r="JF84" s="13"/>
      <c r="JG84" s="13"/>
      <c r="JH84" s="13"/>
      <c r="JI84" s="13"/>
      <c r="JJ84" s="13"/>
      <c r="JK84" s="13"/>
      <c r="JL84" s="13"/>
      <c r="JM84" s="13"/>
      <c r="JN84" s="13"/>
      <c r="JO84" s="13"/>
      <c r="JP84" s="13"/>
      <c r="JQ84" s="13"/>
      <c r="JR84" s="13"/>
      <c r="JS84" s="13"/>
      <c r="JT84" s="13"/>
      <c r="JU84" s="13"/>
      <c r="JV84" s="13"/>
      <c r="JW84" s="13"/>
      <c r="JX84" s="13"/>
      <c r="JY84" s="13"/>
      <c r="JZ84" s="13"/>
      <c r="KA84" s="13"/>
      <c r="KB84" s="13"/>
      <c r="KC84" s="13"/>
      <c r="KD84" s="13"/>
      <c r="KE84" s="13"/>
      <c r="KF84" s="13"/>
      <c r="KG84" s="13"/>
      <c r="KH84" s="13"/>
      <c r="KI84" s="13"/>
      <c r="KJ84" s="13"/>
      <c r="KK84" s="13"/>
      <c r="KL84" s="13"/>
      <c r="KM84" s="13"/>
      <c r="KN84" s="13"/>
      <c r="KO84" s="13"/>
      <c r="KP84" s="13"/>
      <c r="KQ84" s="13"/>
      <c r="KR84" s="13"/>
      <c r="KS84" s="13"/>
      <c r="KT84" s="13"/>
      <c r="KU84" s="13"/>
      <c r="KV84" s="13"/>
      <c r="KW84" s="13"/>
      <c r="KX84" s="13"/>
      <c r="KY84" s="13"/>
      <c r="KZ84" s="13"/>
      <c r="LA84" s="13"/>
      <c r="LB84" s="13"/>
      <c r="LC84" s="13"/>
      <c r="LD84" s="13"/>
      <c r="LE84" s="13"/>
      <c r="LF84" s="13"/>
      <c r="LG84" s="13"/>
      <c r="LH84" s="13"/>
      <c r="LI84" s="13"/>
      <c r="LJ84" s="13"/>
      <c r="LK84" s="13"/>
      <c r="LL84" s="13"/>
      <c r="LM84" s="13"/>
      <c r="LN84" s="13"/>
      <c r="LO84" s="13"/>
      <c r="LP84" s="13"/>
      <c r="LQ84" s="13"/>
      <c r="LR84" s="13"/>
      <c r="LS84" s="13"/>
      <c r="LT84" s="13"/>
      <c r="LU84" s="13"/>
      <c r="LV84" s="13"/>
      <c r="LW84" s="13"/>
      <c r="LX84" s="13"/>
      <c r="LY84" s="13"/>
      <c r="LZ84" s="13"/>
      <c r="MA84" s="13"/>
      <c r="MB84" s="13"/>
      <c r="MC84" s="13"/>
      <c r="MD84" s="13"/>
      <c r="ME84" s="13"/>
      <c r="MF84" s="13"/>
      <c r="MG84" s="13"/>
      <c r="MH84" s="13"/>
      <c r="MI84" s="13"/>
      <c r="MJ84" s="13"/>
      <c r="MK84" s="13"/>
      <c r="ML84" s="13"/>
      <c r="MM84" s="13"/>
      <c r="MN84" s="13"/>
      <c r="MO84" s="13"/>
      <c r="MP84" s="13"/>
      <c r="MQ84" s="13"/>
      <c r="MR84" s="13"/>
      <c r="MS84" s="13"/>
      <c r="MT84" s="13"/>
      <c r="MU84" s="13"/>
      <c r="MV84" s="13"/>
      <c r="MW84" s="13"/>
      <c r="MX84" s="13"/>
      <c r="MY84" s="13"/>
      <c r="MZ84" s="13"/>
      <c r="NA84" s="13"/>
      <c r="NB84" s="13"/>
      <c r="NC84" s="13"/>
      <c r="ND84" s="13"/>
      <c r="NE84" s="13"/>
      <c r="NF84" s="13"/>
      <c r="NG84" s="13"/>
      <c r="NH84" s="13"/>
      <c r="NI84" s="13"/>
      <c r="NJ84" s="13"/>
      <c r="NK84" s="13"/>
      <c r="NL84" s="13"/>
      <c r="NM84" s="13"/>
      <c r="NN84" s="13"/>
      <c r="NO84" s="13"/>
      <c r="NP84" s="13"/>
      <c r="NQ84" s="13"/>
      <c r="NR84" s="13"/>
      <c r="NS84" s="13"/>
      <c r="NT84" s="13"/>
      <c r="NU84" s="13"/>
      <c r="NV84" s="13"/>
      <c r="NW84" s="13"/>
      <c r="NX84" s="13"/>
      <c r="NY84" s="13"/>
      <c r="NZ84" s="13"/>
      <c r="OA84" s="13"/>
      <c r="OB84" s="13"/>
      <c r="OC84" s="13"/>
      <c r="OD84" s="13"/>
      <c r="OE84" s="13"/>
      <c r="OF84" s="13"/>
      <c r="OG84" s="13"/>
      <c r="OH84" s="13"/>
      <c r="OI84" s="13"/>
      <c r="OJ84" s="13"/>
      <c r="OK84" s="13"/>
      <c r="OL84" s="13"/>
      <c r="OM84" s="13"/>
      <c r="ON84" s="13"/>
      <c r="OO84" s="13"/>
      <c r="OP84" s="13"/>
      <c r="OQ84" s="13"/>
      <c r="OR84" s="13"/>
      <c r="OS84" s="13"/>
      <c r="OT84" s="13"/>
      <c r="OU84" s="13"/>
      <c r="OV84" s="13"/>
      <c r="OW84" s="13"/>
      <c r="OX84" s="13"/>
      <c r="OY84" s="13"/>
      <c r="OZ84" s="13"/>
      <c r="PA84" s="13"/>
      <c r="PB84" s="13"/>
      <c r="PC84" s="13"/>
      <c r="PD84" s="13"/>
      <c r="PE84" s="13"/>
      <c r="PF84" s="13"/>
      <c r="PG84" s="13"/>
      <c r="PH84" s="13"/>
      <c r="PI84" s="13"/>
      <c r="PJ84" s="13"/>
      <c r="PK84" s="13"/>
      <c r="PL84" s="13"/>
      <c r="PM84" s="13"/>
      <c r="PN84" s="13"/>
      <c r="PO84" s="13"/>
      <c r="PP84" s="13"/>
      <c r="PQ84" s="13"/>
      <c r="PR84" s="13"/>
      <c r="PS84" s="13"/>
      <c r="PT84" s="13"/>
      <c r="PU84" s="13"/>
      <c r="PV84" s="13"/>
      <c r="PW84" s="13"/>
      <c r="PX84" s="13"/>
      <c r="PY84" s="13"/>
      <c r="PZ84" s="13"/>
      <c r="QA84" s="13"/>
      <c r="QB84" s="13"/>
      <c r="QC84" s="13"/>
      <c r="QD84" s="13"/>
      <c r="QE84" s="13"/>
      <c r="QF84" s="13"/>
      <c r="QG84" s="13"/>
      <c r="QH84" s="13"/>
      <c r="QI84" s="13"/>
      <c r="QJ84" s="13"/>
      <c r="QK84" s="13"/>
      <c r="QL84" s="13"/>
      <c r="QM84" s="13"/>
      <c r="QN84" s="13"/>
      <c r="QO84" s="13"/>
      <c r="QP84" s="13"/>
      <c r="QQ84" s="13"/>
      <c r="QR84" s="13"/>
      <c r="QS84" s="13"/>
      <c r="QT84" s="13"/>
      <c r="QU84" s="13"/>
      <c r="QV84" s="13"/>
      <c r="QW84" s="13"/>
      <c r="QX84" s="13"/>
      <c r="QY84" s="13"/>
      <c r="QZ84" s="13"/>
      <c r="RA84" s="13"/>
      <c r="RB84" s="13"/>
      <c r="RC84" s="13"/>
      <c r="RD84" s="13"/>
      <c r="RE84" s="13"/>
      <c r="RF84" s="13"/>
      <c r="RG84" s="13"/>
      <c r="RH84" s="13"/>
      <c r="RI84" s="13"/>
      <c r="RJ84" s="13"/>
      <c r="RK84" s="13"/>
      <c r="RL84" s="13"/>
      <c r="RM84" s="13"/>
      <c r="RN84" s="13"/>
      <c r="RO84" s="13"/>
      <c r="RP84" s="13"/>
      <c r="RQ84" s="13"/>
      <c r="RR84" s="13"/>
      <c r="RS84" s="13"/>
      <c r="RT84" s="13"/>
      <c r="RU84" s="13"/>
      <c r="RV84" s="13"/>
      <c r="RW84" s="13"/>
      <c r="RX84" s="13"/>
      <c r="RY84" s="13"/>
      <c r="RZ84" s="13"/>
      <c r="SA84" s="13"/>
      <c r="SB84" s="13"/>
      <c r="SC84" s="13"/>
      <c r="SD84" s="13"/>
      <c r="SE84" s="13"/>
      <c r="SF84" s="13"/>
      <c r="SG84" s="13"/>
      <c r="SH84" s="13"/>
      <c r="SI84" s="13"/>
      <c r="SJ84" s="13"/>
      <c r="SK84" s="13"/>
      <c r="SL84" s="13"/>
      <c r="SM84" s="13"/>
      <c r="SN84" s="13"/>
      <c r="SO84" s="13"/>
      <c r="SP84" s="13"/>
      <c r="SQ84" s="13"/>
      <c r="SR84" s="13"/>
      <c r="SS84" s="13"/>
      <c r="ST84" s="13"/>
      <c r="SU84" s="13"/>
      <c r="SV84" s="13"/>
      <c r="SW84" s="13"/>
      <c r="SX84" s="13"/>
      <c r="SY84" s="13"/>
      <c r="SZ84" s="13"/>
      <c r="TA84" s="13"/>
      <c r="TB84" s="13"/>
      <c r="TC84" s="13"/>
      <c r="TD84" s="13"/>
      <c r="TE84" s="13"/>
      <c r="TF84" s="13"/>
      <c r="TG84" s="13"/>
      <c r="TH84" s="13"/>
      <c r="TI84" s="13"/>
      <c r="TJ84" s="13"/>
      <c r="TK84" s="13"/>
      <c r="TL84" s="13"/>
      <c r="TM84" s="13"/>
      <c r="TN84" s="13"/>
      <c r="TO84" s="13"/>
      <c r="TP84" s="13"/>
      <c r="TQ84" s="13"/>
      <c r="TR84" s="13"/>
      <c r="TS84" s="13"/>
      <c r="TT84" s="13"/>
      <c r="TU84" s="13"/>
      <c r="TV84" s="13"/>
      <c r="TW84" s="13"/>
      <c r="TX84" s="13"/>
      <c r="TY84" s="13"/>
      <c r="TZ84" s="13"/>
      <c r="UA84" s="13"/>
      <c r="UB84" s="13"/>
      <c r="UC84" s="13"/>
      <c r="UD84" s="13"/>
      <c r="UE84" s="13"/>
      <c r="UF84" s="13"/>
      <c r="UG84" s="13"/>
      <c r="UH84" s="13"/>
      <c r="UI84" s="13"/>
      <c r="UJ84" s="13"/>
      <c r="UK84" s="13"/>
      <c r="UL84" s="13"/>
      <c r="UM84" s="13"/>
      <c r="UN84" s="13"/>
      <c r="UO84" s="13"/>
      <c r="UP84" s="13"/>
      <c r="UQ84" s="13"/>
      <c r="UR84" s="13"/>
      <c r="US84" s="13"/>
      <c r="UT84" s="13"/>
      <c r="UU84" s="13"/>
      <c r="UV84" s="13"/>
      <c r="UW84" s="13"/>
      <c r="UX84" s="13"/>
      <c r="UY84" s="13"/>
      <c r="UZ84" s="13"/>
      <c r="VA84" s="13"/>
      <c r="VB84" s="13"/>
      <c r="VC84" s="13"/>
      <c r="VD84" s="13"/>
      <c r="VE84" s="13"/>
      <c r="VF84" s="13"/>
      <c r="VG84" s="13"/>
      <c r="VH84" s="13"/>
      <c r="VI84" s="13"/>
      <c r="VJ84" s="13"/>
      <c r="VK84" s="13"/>
      <c r="VL84" s="13"/>
      <c r="VM84" s="13"/>
      <c r="VN84" s="13"/>
      <c r="VO84" s="13"/>
      <c r="VP84" s="13"/>
      <c r="VQ84" s="13"/>
      <c r="VR84" s="13"/>
      <c r="VS84" s="13"/>
      <c r="VT84" s="13"/>
    </row>
    <row r="85" spans="1:592" s="13" customFormat="1" ht="21" x14ac:dyDescent="0.2">
      <c r="A85" s="10" t="s">
        <v>353</v>
      </c>
      <c r="B85" s="11">
        <v>71220003</v>
      </c>
      <c r="C85" s="11" t="s">
        <v>296</v>
      </c>
      <c r="D85" s="11">
        <v>2138835</v>
      </c>
      <c r="E85" s="225" t="s">
        <v>285</v>
      </c>
      <c r="F85" s="192" t="s">
        <v>278</v>
      </c>
      <c r="G85" s="201">
        <f>IFERROR(VLOOKUP(D85,List1!$A$5:$B$227,2,FALSE),"0")</f>
        <v>17828000</v>
      </c>
      <c r="H85" s="41" t="str">
        <f>IFERROR(VLOOKUP(D85,List1!$D$5:$E$41,2,FALSE),"0")</f>
        <v>0</v>
      </c>
      <c r="I85" s="41">
        <f>IFERROR(VLOOKUP(D85,List1!$G$5:$H$227,2,FALSE),"0")</f>
        <v>2800356</v>
      </c>
      <c r="J85" s="40">
        <f t="shared" si="10"/>
        <v>20628356</v>
      </c>
      <c r="K85" s="41" t="str">
        <f>IFERROR(VLOOKUP(D85,List1!$J$5:$K$227,2,FALSE),"0")</f>
        <v>0</v>
      </c>
      <c r="L85" s="41" t="str">
        <f>IFERROR(VLOOKUP(D85,List1!$M$5:$N$112,2,FALSE),"0")</f>
        <v>0</v>
      </c>
      <c r="M85" s="43">
        <v>0</v>
      </c>
      <c r="N85" s="80">
        <f>VLOOKUP($D$5:$D$251,List2!$A$2:$B$241,2,FALSE)</f>
        <v>0</v>
      </c>
      <c r="O85" s="80">
        <f>IFERROR(VLOOKUP($D$5:$D$260,List1!$Y$5:$Z$244,2,FALSE),0)</f>
        <v>6696440.2199999997</v>
      </c>
      <c r="P85" s="202">
        <f>IFERROR(VLOOKUP($D$5:$D$260,List1!$AB$5:$AC$244,2,FALSE),0)</f>
        <v>0</v>
      </c>
      <c r="Q85" s="201">
        <f>IFERROR(VLOOKUP($D$5:$D$260,List1!$S$5:$T$231,2,FALSE),0)</f>
        <v>17238133</v>
      </c>
      <c r="R85" s="41">
        <v>0</v>
      </c>
      <c r="S85" s="41">
        <f>IFERROR(VLOOKUP($D$5:$D$260,List1!$AE$5:$AF$231,2,FALSE),0)</f>
        <v>969221</v>
      </c>
      <c r="T85" s="41">
        <f t="shared" si="11"/>
        <v>18207354</v>
      </c>
      <c r="U85" s="41" t="str">
        <f>IFERROR(VLOOKUP(D85,List1!$P$5:$Q$110,2,FALSE),"0")</f>
        <v>0</v>
      </c>
      <c r="V85" s="41">
        <v>0</v>
      </c>
      <c r="W85" s="248">
        <v>0</v>
      </c>
      <c r="X85" s="211">
        <f t="shared" si="12"/>
        <v>18207354</v>
      </c>
      <c r="Y85" s="219"/>
      <c r="Z85" s="80">
        <f>IFERROR(VLOOKUP($D$5:$D$260,#REF!,3,FALSE),0)</f>
        <v>0</v>
      </c>
      <c r="AA85" s="80">
        <f>IFERROR(VLOOKUP($D$5:$D$260,#REF!,3,FALSE),0)</f>
        <v>0</v>
      </c>
      <c r="AB85" s="243">
        <v>0</v>
      </c>
      <c r="AC85" s="202">
        <f t="shared" si="13"/>
        <v>0</v>
      </c>
      <c r="AD85" s="259">
        <f t="shared" si="14"/>
        <v>0</v>
      </c>
      <c r="AE85" s="260">
        <f t="shared" si="15"/>
        <v>0</v>
      </c>
      <c r="AF85" s="260">
        <f t="shared" si="16"/>
        <v>0</v>
      </c>
      <c r="AG85" s="260">
        <f t="shared" si="17"/>
        <v>0</v>
      </c>
    </row>
    <row r="86" spans="1:592" s="13" customFormat="1" ht="21" x14ac:dyDescent="0.2">
      <c r="A86" s="10" t="s">
        <v>353</v>
      </c>
      <c r="B86" s="11">
        <v>71220003</v>
      </c>
      <c r="C86" s="11" t="s">
        <v>296</v>
      </c>
      <c r="D86" s="11">
        <v>4630845</v>
      </c>
      <c r="E86" s="225" t="s">
        <v>290</v>
      </c>
      <c r="F86" s="192" t="s">
        <v>278</v>
      </c>
      <c r="G86" s="201">
        <f>IFERROR(VLOOKUP(D86,List1!$A$5:$B$227,2,FALSE),"0")</f>
        <v>4910000</v>
      </c>
      <c r="H86" s="41">
        <f>IFERROR(VLOOKUP(D86,List1!$D$5:$E$41,2,FALSE),"0")</f>
        <v>1150000</v>
      </c>
      <c r="I86" s="41">
        <f>IFERROR(VLOOKUP(D86,List1!$G$5:$H$227,2,FALSE),"0")</f>
        <v>660000</v>
      </c>
      <c r="J86" s="40">
        <f t="shared" si="10"/>
        <v>6720000</v>
      </c>
      <c r="K86" s="41" t="str">
        <f>IFERROR(VLOOKUP(D86,List1!$J$5:$K$227,2,FALSE),"0")</f>
        <v>0</v>
      </c>
      <c r="L86" s="41" t="str">
        <f>IFERROR(VLOOKUP(D86,List1!$M$5:$N$112,2,FALSE),"0")</f>
        <v>0</v>
      </c>
      <c r="M86" s="43">
        <v>0</v>
      </c>
      <c r="N86" s="80">
        <f>VLOOKUP($D$5:$D$251,List2!$A$2:$B$241,2,FALSE)</f>
        <v>0</v>
      </c>
      <c r="O86" s="80">
        <f>IFERROR(VLOOKUP($D$5:$D$260,List1!$Y$5:$Z$244,2,FALSE),0)</f>
        <v>1924941.6</v>
      </c>
      <c r="P86" s="202">
        <f>IFERROR(VLOOKUP($D$5:$D$260,List1!$AB$5:$AC$244,2,FALSE),0)</f>
        <v>0</v>
      </c>
      <c r="Q86" s="201">
        <f>IFERROR(VLOOKUP($D$5:$D$260,List1!$S$5:$T$231,2,FALSE),0)</f>
        <v>5819559</v>
      </c>
      <c r="R86" s="41">
        <v>0</v>
      </c>
      <c r="S86" s="41">
        <f>IFERROR(VLOOKUP($D$5:$D$260,List1!$AE$5:$AF$231,2,FALSE),0)</f>
        <v>193844</v>
      </c>
      <c r="T86" s="41">
        <f t="shared" si="11"/>
        <v>6013403</v>
      </c>
      <c r="U86" s="41" t="str">
        <f>IFERROR(VLOOKUP(D86,List1!$P$5:$Q$110,2,FALSE),"0")</f>
        <v>0</v>
      </c>
      <c r="V86" s="41">
        <v>0</v>
      </c>
      <c r="W86" s="248">
        <v>0</v>
      </c>
      <c r="X86" s="211">
        <f t="shared" si="12"/>
        <v>6013403</v>
      </c>
      <c r="Y86" s="219"/>
      <c r="Z86" s="80">
        <f>IFERROR(VLOOKUP($D$5:$D$260,#REF!,3,FALSE),0)</f>
        <v>0</v>
      </c>
      <c r="AA86" s="80">
        <f>IFERROR(VLOOKUP($D$5:$D$260,#REF!,3,FALSE),0)</f>
        <v>0</v>
      </c>
      <c r="AB86" s="243">
        <v>0</v>
      </c>
      <c r="AC86" s="202">
        <f t="shared" si="13"/>
        <v>0</v>
      </c>
      <c r="AD86" s="259">
        <f t="shared" si="14"/>
        <v>0</v>
      </c>
      <c r="AE86" s="260">
        <f t="shared" si="15"/>
        <v>0</v>
      </c>
      <c r="AF86" s="260">
        <f t="shared" si="16"/>
        <v>0</v>
      </c>
      <c r="AG86" s="260">
        <f t="shared" si="17"/>
        <v>0</v>
      </c>
    </row>
    <row r="87" spans="1:592" s="13" customFormat="1" ht="31.5" x14ac:dyDescent="0.2">
      <c r="A87" s="10" t="s">
        <v>354</v>
      </c>
      <c r="B87" s="11">
        <v>71220038</v>
      </c>
      <c r="C87" s="11" t="s">
        <v>296</v>
      </c>
      <c r="D87" s="11">
        <v>3823721</v>
      </c>
      <c r="E87" s="225" t="s">
        <v>285</v>
      </c>
      <c r="F87" s="192" t="s">
        <v>278</v>
      </c>
      <c r="G87" s="201">
        <f>IFERROR(VLOOKUP(D87,List1!$A$5:$B$227,2,FALSE),"0")</f>
        <v>5608000</v>
      </c>
      <c r="H87" s="41" t="str">
        <f>IFERROR(VLOOKUP(D87,List1!$D$5:$E$41,2,FALSE),"0")</f>
        <v>0</v>
      </c>
      <c r="I87" s="41" t="str">
        <f>IFERROR(VLOOKUP(D87,List1!$G$5:$H$227,2,FALSE),"0")</f>
        <v>0</v>
      </c>
      <c r="J87" s="40">
        <f t="shared" si="10"/>
        <v>5608000</v>
      </c>
      <c r="K87" s="41" t="str">
        <f>IFERROR(VLOOKUP(D87,List1!$J$5:$K$227,2,FALSE),"0")</f>
        <v>0</v>
      </c>
      <c r="L87" s="41" t="str">
        <f>IFERROR(VLOOKUP(D87,List1!$M$5:$N$112,2,FALSE),"0")</f>
        <v>0</v>
      </c>
      <c r="M87" s="43">
        <v>0</v>
      </c>
      <c r="N87" s="80">
        <f>VLOOKUP($D$5:$D$251,List2!$A$2:$B$241,2,FALSE)</f>
        <v>10752</v>
      </c>
      <c r="O87" s="80">
        <f>IFERROR(VLOOKUP($D$5:$D$260,List1!$Y$5:$Z$244,2,FALSE),0)</f>
        <v>5305518.1100000003</v>
      </c>
      <c r="P87" s="202">
        <f>IFERROR(VLOOKUP($D$5:$D$260,List1!$AB$5:$AC$244,2,FALSE),0)</f>
        <v>0</v>
      </c>
      <c r="Q87" s="201">
        <f>IFERROR(VLOOKUP($D$5:$D$260,List1!$S$5:$T$231,2,FALSE),0)</f>
        <v>0</v>
      </c>
      <c r="R87" s="41">
        <v>0</v>
      </c>
      <c r="S87" s="41">
        <f>IFERROR(VLOOKUP($D$5:$D$260,List1!$AE$5:$AF$231,2,FALSE),0)</f>
        <v>0</v>
      </c>
      <c r="T87" s="41">
        <f t="shared" si="11"/>
        <v>0</v>
      </c>
      <c r="U87" s="41" t="str">
        <f>IFERROR(VLOOKUP(D87,List1!$P$5:$Q$110,2,FALSE),"0")</f>
        <v>0</v>
      </c>
      <c r="V87" s="41">
        <v>0</v>
      </c>
      <c r="W87" s="248">
        <v>0</v>
      </c>
      <c r="X87" s="211">
        <f t="shared" si="12"/>
        <v>0</v>
      </c>
      <c r="Y87" s="219"/>
      <c r="Z87" s="80">
        <f>IFERROR(VLOOKUP($D$5:$D$260,#REF!,3,FALSE),0)</f>
        <v>0</v>
      </c>
      <c r="AA87" s="80">
        <f>IFERROR(VLOOKUP($D$5:$D$260,#REF!,3,FALSE),0)</f>
        <v>0</v>
      </c>
      <c r="AB87" s="243">
        <v>0</v>
      </c>
      <c r="AC87" s="202">
        <f t="shared" si="13"/>
        <v>0</v>
      </c>
      <c r="AD87" s="259">
        <f t="shared" si="14"/>
        <v>0</v>
      </c>
      <c r="AE87" s="260">
        <f t="shared" si="15"/>
        <v>0</v>
      </c>
      <c r="AF87" s="260">
        <f t="shared" si="16"/>
        <v>0</v>
      </c>
      <c r="AG87" s="260">
        <f t="shared" si="17"/>
        <v>0</v>
      </c>
    </row>
    <row r="88" spans="1:592" s="13" customFormat="1" ht="31.5" x14ac:dyDescent="0.2">
      <c r="A88" s="10" t="s">
        <v>354</v>
      </c>
      <c r="B88" s="11">
        <v>71220038</v>
      </c>
      <c r="C88" s="11" t="s">
        <v>296</v>
      </c>
      <c r="D88" s="11">
        <v>9621480</v>
      </c>
      <c r="E88" s="225" t="s">
        <v>290</v>
      </c>
      <c r="F88" s="192" t="s">
        <v>278</v>
      </c>
      <c r="G88" s="201">
        <f>IFERROR(VLOOKUP(D88,List1!$A$5:$B$227,2,FALSE),"0")</f>
        <v>14039000</v>
      </c>
      <c r="H88" s="41">
        <f>IFERROR(VLOOKUP(D88,List1!$D$5:$E$41,2,FALSE),"0")</f>
        <v>163858</v>
      </c>
      <c r="I88" s="41" t="str">
        <f>IFERROR(VLOOKUP(D88,List1!$G$5:$H$227,2,FALSE),"0")</f>
        <v>0</v>
      </c>
      <c r="J88" s="40">
        <f t="shared" si="10"/>
        <v>14202858</v>
      </c>
      <c r="K88" s="41" t="str">
        <f>IFERROR(VLOOKUP(D88,List1!$J$5:$K$227,2,FALSE),"0")</f>
        <v>0</v>
      </c>
      <c r="L88" s="41" t="str">
        <f>IFERROR(VLOOKUP(D88,List1!$M$5:$N$112,2,FALSE),"0")</f>
        <v>0</v>
      </c>
      <c r="M88" s="43">
        <v>0</v>
      </c>
      <c r="N88" s="80">
        <f>VLOOKUP($D$5:$D$251,List2!$A$2:$B$241,2,FALSE)</f>
        <v>22848</v>
      </c>
      <c r="O88" s="80">
        <f>IFERROR(VLOOKUP($D$5:$D$260,List1!$Y$5:$Z$244,2,FALSE),0)</f>
        <v>1038321.29</v>
      </c>
      <c r="P88" s="202">
        <f>IFERROR(VLOOKUP($D$5:$D$260,List1!$AB$5:$AC$244,2,FALSE),0)</f>
        <v>0</v>
      </c>
      <c r="Q88" s="201">
        <f>IFERROR(VLOOKUP($D$5:$D$260,List1!$S$5:$T$231,2,FALSE),0)</f>
        <v>0</v>
      </c>
      <c r="R88" s="41">
        <v>0</v>
      </c>
      <c r="S88" s="41">
        <f>IFERROR(VLOOKUP($D$5:$D$260,List1!$AE$5:$AF$231,2,FALSE),0)</f>
        <v>0</v>
      </c>
      <c r="T88" s="41">
        <f t="shared" si="11"/>
        <v>0</v>
      </c>
      <c r="U88" s="41" t="str">
        <f>IFERROR(VLOOKUP(D88,List1!$P$5:$Q$110,2,FALSE),"0")</f>
        <v>0</v>
      </c>
      <c r="V88" s="41">
        <v>0</v>
      </c>
      <c r="W88" s="248">
        <v>0</v>
      </c>
      <c r="X88" s="211">
        <f t="shared" si="12"/>
        <v>0</v>
      </c>
      <c r="Y88" s="219"/>
      <c r="Z88" s="80">
        <f>IFERROR(VLOOKUP($D$5:$D$260,#REF!,3,FALSE),0)</f>
        <v>0</v>
      </c>
      <c r="AA88" s="80">
        <f>IFERROR(VLOOKUP($D$5:$D$260,#REF!,3,FALSE),0)</f>
        <v>0</v>
      </c>
      <c r="AB88" s="243">
        <v>0</v>
      </c>
      <c r="AC88" s="202">
        <f t="shared" si="13"/>
        <v>0</v>
      </c>
      <c r="AD88" s="259">
        <f t="shared" si="14"/>
        <v>0</v>
      </c>
      <c r="AE88" s="260">
        <f t="shared" si="15"/>
        <v>0</v>
      </c>
      <c r="AF88" s="260">
        <f t="shared" si="16"/>
        <v>0</v>
      </c>
      <c r="AG88" s="260">
        <f t="shared" si="17"/>
        <v>0</v>
      </c>
    </row>
    <row r="89" spans="1:592" s="13" customFormat="1" ht="21" x14ac:dyDescent="0.2">
      <c r="A89" s="10" t="s">
        <v>355</v>
      </c>
      <c r="B89" s="11">
        <v>71220089</v>
      </c>
      <c r="C89" s="11" t="s">
        <v>296</v>
      </c>
      <c r="D89" s="11">
        <v>3152221</v>
      </c>
      <c r="E89" s="225" t="s">
        <v>298</v>
      </c>
      <c r="F89" s="192" t="s">
        <v>278</v>
      </c>
      <c r="G89" s="201">
        <f>IFERROR(VLOOKUP(D89,List1!$A$5:$B$227,2,FALSE),"0")</f>
        <v>18408000</v>
      </c>
      <c r="H89" s="41" t="str">
        <f>IFERROR(VLOOKUP(D89,List1!$D$5:$E$41,2,FALSE),"0")</f>
        <v>0</v>
      </c>
      <c r="I89" s="41">
        <f>IFERROR(VLOOKUP(D89,List1!$G$5:$H$227,2,FALSE),"0")</f>
        <v>760000</v>
      </c>
      <c r="J89" s="40">
        <f t="shared" si="10"/>
        <v>19168000</v>
      </c>
      <c r="K89" s="41" t="str">
        <f>IFERROR(VLOOKUP(D89,List1!$J$5:$K$227,2,FALSE),"0")</f>
        <v>0</v>
      </c>
      <c r="L89" s="41" t="str">
        <f>IFERROR(VLOOKUP(D89,List1!$M$5:$N$112,2,FALSE),"0")</f>
        <v>0</v>
      </c>
      <c r="M89" s="43">
        <v>0</v>
      </c>
      <c r="N89" s="80">
        <f>VLOOKUP($D$5:$D$251,List2!$A$2:$B$241,2,FALSE)</f>
        <v>0</v>
      </c>
      <c r="O89" s="80">
        <f>IFERROR(VLOOKUP($D$5:$D$260,List1!$Y$5:$Z$244,2,FALSE),0)</f>
        <v>4092662</v>
      </c>
      <c r="P89" s="202">
        <f>IFERROR(VLOOKUP($D$5:$D$260,List1!$AB$5:$AC$244,2,FALSE),0)</f>
        <v>0</v>
      </c>
      <c r="Q89" s="201">
        <f>IFERROR(VLOOKUP($D$5:$D$260,List1!$S$5:$T$231,2,FALSE),0)</f>
        <v>12963590</v>
      </c>
      <c r="R89" s="41">
        <v>0</v>
      </c>
      <c r="S89" s="41">
        <f>IFERROR(VLOOKUP($D$5:$D$260,List1!$AE$5:$AF$231,2,FALSE),0)</f>
        <v>3914410</v>
      </c>
      <c r="T89" s="41">
        <f t="shared" si="11"/>
        <v>16878000</v>
      </c>
      <c r="U89" s="41" t="str">
        <f>IFERROR(VLOOKUP(D89,List1!$P$5:$Q$110,2,FALSE),"0")</f>
        <v>0</v>
      </c>
      <c r="V89" s="41">
        <v>0</v>
      </c>
      <c r="W89" s="248">
        <v>0</v>
      </c>
      <c r="X89" s="211">
        <f t="shared" si="12"/>
        <v>16878000</v>
      </c>
      <c r="Y89" s="219"/>
      <c r="Z89" s="80">
        <f>IFERROR(VLOOKUP($D$5:$D$260,#REF!,3,FALSE),0)</f>
        <v>0</v>
      </c>
      <c r="AA89" s="80">
        <f>IFERROR(VLOOKUP($D$5:$D$260,#REF!,3,FALSE),0)</f>
        <v>0</v>
      </c>
      <c r="AB89" s="243">
        <v>0</v>
      </c>
      <c r="AC89" s="202">
        <f t="shared" si="13"/>
        <v>0</v>
      </c>
      <c r="AD89" s="259">
        <f t="shared" si="14"/>
        <v>0</v>
      </c>
      <c r="AE89" s="260">
        <f t="shared" si="15"/>
        <v>0</v>
      </c>
      <c r="AF89" s="260">
        <f t="shared" si="16"/>
        <v>0</v>
      </c>
      <c r="AG89" s="260">
        <f t="shared" si="17"/>
        <v>0</v>
      </c>
    </row>
    <row r="90" spans="1:592" s="13" customFormat="1" ht="21" x14ac:dyDescent="0.2">
      <c r="A90" s="10" t="s">
        <v>355</v>
      </c>
      <c r="B90" s="11">
        <v>71220089</v>
      </c>
      <c r="C90" s="11" t="s">
        <v>296</v>
      </c>
      <c r="D90" s="11">
        <v>1467756</v>
      </c>
      <c r="E90" s="228" t="s">
        <v>338</v>
      </c>
      <c r="F90" s="192" t="s">
        <v>269</v>
      </c>
      <c r="G90" s="203">
        <f>IFERROR(VLOOKUP(D90,List1!$A$5:$B$227,2,FALSE),"0")-1584929.58</f>
        <v>2166070.42</v>
      </c>
      <c r="H90" s="41" t="str">
        <f>IFERROR(VLOOKUP(D90,List1!$D$5:$E$41,2,FALSE),"0")</f>
        <v>0</v>
      </c>
      <c r="I90" s="41">
        <f>IFERROR(VLOOKUP(D90,List1!$G$5:$H$227,2,FALSE),"0")</f>
        <v>0</v>
      </c>
      <c r="J90" s="40">
        <f t="shared" si="10"/>
        <v>2166070.42</v>
      </c>
      <c r="K90" s="41" t="str">
        <f>IFERROR(VLOOKUP(D90,List1!$J$5:$K$227,2,FALSE),"0")</f>
        <v>0</v>
      </c>
      <c r="L90" s="41" t="str">
        <f>IFERROR(VLOOKUP(D90,List1!$M$5:$N$112,2,FALSE),"0")</f>
        <v>0</v>
      </c>
      <c r="M90" s="43">
        <v>2307774</v>
      </c>
      <c r="N90" s="80">
        <f>VLOOKUP($D$5:$D$251,List2!$A$2:$B$241,2,FALSE)</f>
        <v>50444</v>
      </c>
      <c r="O90" s="80">
        <f>IFERROR(VLOOKUP($D$5:$D$260,List1!$Y$5:$Z$244,2,FALSE),0)</f>
        <v>1358437</v>
      </c>
      <c r="P90" s="202">
        <f>IFERROR(VLOOKUP($D$5:$D$260,List1!$AB$5:$AC$244,2,FALSE),0)</f>
        <v>0</v>
      </c>
      <c r="Q90" s="201">
        <f>IFERROR(VLOOKUP($D$5:$D$260,List1!$S$5:$T$231,2,FALSE),0)</f>
        <v>3337444</v>
      </c>
      <c r="R90" s="41">
        <v>0</v>
      </c>
      <c r="S90" s="41">
        <f>IFERROR(VLOOKUP($D$5:$D$260,List1!$AE$5:$AF$231,2,FALSE),0)</f>
        <v>1000000</v>
      </c>
      <c r="T90" s="41">
        <f t="shared" si="11"/>
        <v>4337444</v>
      </c>
      <c r="U90" s="41" t="str">
        <f>IFERROR(VLOOKUP(D90,List1!$P$5:$Q$110,2,FALSE),"0")</f>
        <v>0</v>
      </c>
      <c r="V90" s="41">
        <v>0</v>
      </c>
      <c r="W90" s="248">
        <v>0</v>
      </c>
      <c r="X90" s="211">
        <f t="shared" si="12"/>
        <v>4337444</v>
      </c>
      <c r="Y90" s="219"/>
      <c r="Z90" s="80">
        <f>IFERROR(VLOOKUP($D$5:$D$260,#REF!,3,FALSE),0)</f>
        <v>0</v>
      </c>
      <c r="AA90" s="80">
        <f>IFERROR(VLOOKUP($D$5:$D$260,#REF!,3,FALSE),0)</f>
        <v>0</v>
      </c>
      <c r="AB90" s="243">
        <v>0</v>
      </c>
      <c r="AC90" s="202">
        <f t="shared" si="13"/>
        <v>0</v>
      </c>
      <c r="AD90" s="259">
        <f t="shared" si="14"/>
        <v>0</v>
      </c>
      <c r="AE90" s="260">
        <f t="shared" si="15"/>
        <v>0</v>
      </c>
      <c r="AF90" s="260">
        <f t="shared" si="16"/>
        <v>0</v>
      </c>
      <c r="AG90" s="260">
        <f t="shared" si="17"/>
        <v>0</v>
      </c>
    </row>
    <row r="91" spans="1:592" s="21" customFormat="1" ht="21" x14ac:dyDescent="0.2">
      <c r="A91" s="10" t="s">
        <v>356</v>
      </c>
      <c r="B91" s="11">
        <v>48282936</v>
      </c>
      <c r="C91" s="11" t="s">
        <v>296</v>
      </c>
      <c r="D91" s="11">
        <v>3438523</v>
      </c>
      <c r="E91" s="225" t="s">
        <v>298</v>
      </c>
      <c r="F91" s="192" t="s">
        <v>278</v>
      </c>
      <c r="G91" s="201">
        <f>IFERROR(VLOOKUP(D91,List1!$A$5:$B$227,2,FALSE),"0")</f>
        <v>24407000</v>
      </c>
      <c r="H91" s="41" t="str">
        <f>IFERROR(VLOOKUP(D91,List1!$D$5:$E$41,2,FALSE),"0")</f>
        <v>0</v>
      </c>
      <c r="I91" s="41">
        <f>IFERROR(VLOOKUP(D91,List1!$G$5:$H$227,2,FALSE),"0")</f>
        <v>2440000</v>
      </c>
      <c r="J91" s="40">
        <f t="shared" si="10"/>
        <v>26847000</v>
      </c>
      <c r="K91" s="41" t="str">
        <f>IFERROR(VLOOKUP(D91,List1!$J$5:$K$227,2,FALSE),"0")</f>
        <v>0</v>
      </c>
      <c r="L91" s="41" t="str">
        <f>IFERROR(VLOOKUP(D91,List1!$M$5:$N$112,2,FALSE),"0")</f>
        <v>0</v>
      </c>
      <c r="M91" s="43">
        <v>0</v>
      </c>
      <c r="N91" s="80">
        <f>VLOOKUP($D$5:$D$251,List2!$A$2:$B$241,2,FALSE)</f>
        <v>0</v>
      </c>
      <c r="O91" s="80">
        <f>IFERROR(VLOOKUP($D$5:$D$260,List1!$Y$5:$Z$244,2,FALSE),0)</f>
        <v>9275200</v>
      </c>
      <c r="P91" s="202">
        <f>IFERROR(VLOOKUP($D$5:$D$260,List1!$AB$5:$AC$244,2,FALSE),0)</f>
        <v>0</v>
      </c>
      <c r="Q91" s="201">
        <f>IFERROR(VLOOKUP($D$5:$D$260,List1!$S$5:$T$231,2,FALSE),0)</f>
        <v>23383309</v>
      </c>
      <c r="R91" s="41">
        <v>0</v>
      </c>
      <c r="S91" s="41">
        <f>IFERROR(VLOOKUP($D$5:$D$260,List1!$AE$5:$AF$231,2,FALSE),0)</f>
        <v>193844</v>
      </c>
      <c r="T91" s="41">
        <f t="shared" si="11"/>
        <v>23577153</v>
      </c>
      <c r="U91" s="41" t="str">
        <f>IFERROR(VLOOKUP(D91,List1!$P$5:$Q$110,2,FALSE),"0")</f>
        <v>0</v>
      </c>
      <c r="V91" s="41">
        <v>0</v>
      </c>
      <c r="W91" s="248">
        <v>0</v>
      </c>
      <c r="X91" s="211">
        <f t="shared" si="12"/>
        <v>23577153</v>
      </c>
      <c r="Y91" s="219"/>
      <c r="Z91" s="80">
        <f>IFERROR(VLOOKUP($D$5:$D$260,#REF!,3,FALSE),0)</f>
        <v>0</v>
      </c>
      <c r="AA91" s="80">
        <f>IFERROR(VLOOKUP($D$5:$D$260,#REF!,3,FALSE),0)</f>
        <v>0</v>
      </c>
      <c r="AB91" s="243">
        <v>0</v>
      </c>
      <c r="AC91" s="202">
        <f t="shared" si="13"/>
        <v>0</v>
      </c>
      <c r="AD91" s="259">
        <f t="shared" si="14"/>
        <v>0</v>
      </c>
      <c r="AE91" s="260">
        <f t="shared" si="15"/>
        <v>0</v>
      </c>
      <c r="AF91" s="260">
        <f t="shared" si="16"/>
        <v>0</v>
      </c>
      <c r="AG91" s="260">
        <f t="shared" si="17"/>
        <v>0</v>
      </c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  <c r="IW91" s="13"/>
      <c r="IX91" s="13"/>
      <c r="IY91" s="13"/>
      <c r="IZ91" s="13"/>
      <c r="JA91" s="13"/>
      <c r="JB91" s="13"/>
      <c r="JC91" s="13"/>
      <c r="JD91" s="13"/>
      <c r="JE91" s="13"/>
      <c r="JF91" s="13"/>
      <c r="JG91" s="13"/>
      <c r="JH91" s="13"/>
      <c r="JI91" s="13"/>
      <c r="JJ91" s="13"/>
      <c r="JK91" s="13"/>
      <c r="JL91" s="13"/>
      <c r="JM91" s="13"/>
      <c r="JN91" s="13"/>
      <c r="JO91" s="13"/>
      <c r="JP91" s="13"/>
      <c r="JQ91" s="13"/>
      <c r="JR91" s="13"/>
      <c r="JS91" s="13"/>
      <c r="JT91" s="13"/>
      <c r="JU91" s="13"/>
      <c r="JV91" s="13"/>
      <c r="JW91" s="13"/>
      <c r="JX91" s="13"/>
      <c r="JY91" s="13"/>
      <c r="JZ91" s="13"/>
      <c r="KA91" s="13"/>
      <c r="KB91" s="13"/>
      <c r="KC91" s="13"/>
      <c r="KD91" s="13"/>
      <c r="KE91" s="13"/>
      <c r="KF91" s="13"/>
      <c r="KG91" s="13"/>
      <c r="KH91" s="13"/>
      <c r="KI91" s="13"/>
      <c r="KJ91" s="13"/>
      <c r="KK91" s="13"/>
      <c r="KL91" s="13"/>
      <c r="KM91" s="13"/>
      <c r="KN91" s="13"/>
      <c r="KO91" s="13"/>
      <c r="KP91" s="13"/>
      <c r="KQ91" s="13"/>
      <c r="KR91" s="13"/>
      <c r="KS91" s="13"/>
      <c r="KT91" s="13"/>
      <c r="KU91" s="13"/>
      <c r="KV91" s="13"/>
      <c r="KW91" s="13"/>
      <c r="KX91" s="13"/>
      <c r="KY91" s="13"/>
      <c r="KZ91" s="13"/>
      <c r="LA91" s="13"/>
      <c r="LB91" s="13"/>
      <c r="LC91" s="13"/>
      <c r="LD91" s="13"/>
      <c r="LE91" s="13"/>
      <c r="LF91" s="13"/>
      <c r="LG91" s="13"/>
      <c r="LH91" s="13"/>
      <c r="LI91" s="13"/>
      <c r="LJ91" s="13"/>
      <c r="LK91" s="13"/>
      <c r="LL91" s="13"/>
      <c r="LM91" s="13"/>
      <c r="LN91" s="13"/>
      <c r="LO91" s="13"/>
      <c r="LP91" s="13"/>
      <c r="LQ91" s="13"/>
      <c r="LR91" s="13"/>
      <c r="LS91" s="13"/>
      <c r="LT91" s="13"/>
      <c r="LU91" s="13"/>
      <c r="LV91" s="13"/>
      <c r="LW91" s="13"/>
      <c r="LX91" s="13"/>
      <c r="LY91" s="13"/>
      <c r="LZ91" s="13"/>
      <c r="MA91" s="13"/>
      <c r="MB91" s="13"/>
      <c r="MC91" s="13"/>
      <c r="MD91" s="13"/>
      <c r="ME91" s="13"/>
      <c r="MF91" s="13"/>
      <c r="MG91" s="13"/>
      <c r="MH91" s="13"/>
      <c r="MI91" s="13"/>
      <c r="MJ91" s="13"/>
      <c r="MK91" s="13"/>
      <c r="ML91" s="13"/>
      <c r="MM91" s="13"/>
      <c r="MN91" s="13"/>
      <c r="MO91" s="13"/>
      <c r="MP91" s="13"/>
      <c r="MQ91" s="13"/>
      <c r="MR91" s="13"/>
      <c r="MS91" s="13"/>
      <c r="MT91" s="13"/>
      <c r="MU91" s="13"/>
      <c r="MV91" s="13"/>
      <c r="MW91" s="13"/>
      <c r="MX91" s="13"/>
      <c r="MY91" s="13"/>
      <c r="MZ91" s="13"/>
      <c r="NA91" s="13"/>
      <c r="NB91" s="13"/>
      <c r="NC91" s="13"/>
      <c r="ND91" s="13"/>
      <c r="NE91" s="13"/>
      <c r="NF91" s="13"/>
      <c r="NG91" s="13"/>
      <c r="NH91" s="13"/>
      <c r="NI91" s="13"/>
      <c r="NJ91" s="13"/>
      <c r="NK91" s="13"/>
      <c r="NL91" s="13"/>
      <c r="NM91" s="13"/>
      <c r="NN91" s="13"/>
      <c r="NO91" s="13"/>
      <c r="NP91" s="13"/>
      <c r="NQ91" s="13"/>
      <c r="NR91" s="13"/>
      <c r="NS91" s="13"/>
      <c r="NT91" s="13"/>
      <c r="NU91" s="13"/>
      <c r="NV91" s="13"/>
      <c r="NW91" s="13"/>
      <c r="NX91" s="13"/>
      <c r="NY91" s="13"/>
      <c r="NZ91" s="13"/>
      <c r="OA91" s="13"/>
      <c r="OB91" s="13"/>
      <c r="OC91" s="13"/>
      <c r="OD91" s="13"/>
      <c r="OE91" s="13"/>
      <c r="OF91" s="13"/>
      <c r="OG91" s="13"/>
      <c r="OH91" s="13"/>
      <c r="OI91" s="13"/>
      <c r="OJ91" s="13"/>
      <c r="OK91" s="13"/>
      <c r="OL91" s="13"/>
      <c r="OM91" s="13"/>
      <c r="ON91" s="13"/>
      <c r="OO91" s="13"/>
      <c r="OP91" s="13"/>
      <c r="OQ91" s="13"/>
      <c r="OR91" s="13"/>
      <c r="OS91" s="13"/>
      <c r="OT91" s="13"/>
      <c r="OU91" s="13"/>
      <c r="OV91" s="13"/>
      <c r="OW91" s="13"/>
      <c r="OX91" s="13"/>
      <c r="OY91" s="13"/>
      <c r="OZ91" s="13"/>
      <c r="PA91" s="13"/>
      <c r="PB91" s="13"/>
      <c r="PC91" s="13"/>
      <c r="PD91" s="13"/>
      <c r="PE91" s="13"/>
      <c r="PF91" s="13"/>
      <c r="PG91" s="13"/>
      <c r="PH91" s="13"/>
      <c r="PI91" s="13"/>
      <c r="PJ91" s="13"/>
      <c r="PK91" s="13"/>
      <c r="PL91" s="13"/>
      <c r="PM91" s="13"/>
      <c r="PN91" s="13"/>
      <c r="PO91" s="13"/>
      <c r="PP91" s="13"/>
      <c r="PQ91" s="13"/>
      <c r="PR91" s="13"/>
      <c r="PS91" s="13"/>
      <c r="PT91" s="13"/>
      <c r="PU91" s="13"/>
      <c r="PV91" s="13"/>
      <c r="PW91" s="13"/>
      <c r="PX91" s="13"/>
      <c r="PY91" s="13"/>
      <c r="PZ91" s="13"/>
      <c r="QA91" s="13"/>
      <c r="QB91" s="13"/>
      <c r="QC91" s="13"/>
      <c r="QD91" s="13"/>
      <c r="QE91" s="13"/>
      <c r="QF91" s="13"/>
      <c r="QG91" s="13"/>
      <c r="QH91" s="13"/>
      <c r="QI91" s="13"/>
      <c r="QJ91" s="13"/>
      <c r="QK91" s="13"/>
      <c r="QL91" s="13"/>
      <c r="QM91" s="13"/>
      <c r="QN91" s="13"/>
      <c r="QO91" s="13"/>
      <c r="QP91" s="13"/>
      <c r="QQ91" s="13"/>
      <c r="QR91" s="13"/>
      <c r="QS91" s="13"/>
      <c r="QT91" s="13"/>
      <c r="QU91" s="13"/>
      <c r="QV91" s="13"/>
      <c r="QW91" s="13"/>
      <c r="QX91" s="13"/>
      <c r="QY91" s="13"/>
      <c r="QZ91" s="13"/>
      <c r="RA91" s="13"/>
      <c r="RB91" s="13"/>
      <c r="RC91" s="13"/>
      <c r="RD91" s="13"/>
      <c r="RE91" s="13"/>
      <c r="RF91" s="13"/>
      <c r="RG91" s="13"/>
      <c r="RH91" s="13"/>
      <c r="RI91" s="13"/>
      <c r="RJ91" s="13"/>
      <c r="RK91" s="13"/>
      <c r="RL91" s="13"/>
      <c r="RM91" s="13"/>
      <c r="RN91" s="13"/>
      <c r="RO91" s="13"/>
      <c r="RP91" s="13"/>
      <c r="RQ91" s="13"/>
      <c r="RR91" s="13"/>
      <c r="RS91" s="13"/>
      <c r="RT91" s="13"/>
      <c r="RU91" s="13"/>
      <c r="RV91" s="13"/>
      <c r="RW91" s="13"/>
      <c r="RX91" s="13"/>
      <c r="RY91" s="13"/>
      <c r="RZ91" s="13"/>
      <c r="SA91" s="13"/>
      <c r="SB91" s="13"/>
      <c r="SC91" s="13"/>
      <c r="SD91" s="13"/>
      <c r="SE91" s="13"/>
      <c r="SF91" s="13"/>
      <c r="SG91" s="13"/>
      <c r="SH91" s="13"/>
      <c r="SI91" s="13"/>
      <c r="SJ91" s="13"/>
      <c r="SK91" s="13"/>
      <c r="SL91" s="13"/>
      <c r="SM91" s="13"/>
      <c r="SN91" s="13"/>
      <c r="SO91" s="13"/>
      <c r="SP91" s="13"/>
      <c r="SQ91" s="13"/>
      <c r="SR91" s="13"/>
      <c r="SS91" s="13"/>
      <c r="ST91" s="13"/>
      <c r="SU91" s="13"/>
      <c r="SV91" s="13"/>
      <c r="SW91" s="13"/>
      <c r="SX91" s="13"/>
      <c r="SY91" s="13"/>
      <c r="SZ91" s="13"/>
      <c r="TA91" s="13"/>
      <c r="TB91" s="13"/>
      <c r="TC91" s="13"/>
      <c r="TD91" s="13"/>
      <c r="TE91" s="13"/>
      <c r="TF91" s="13"/>
      <c r="TG91" s="13"/>
      <c r="TH91" s="13"/>
      <c r="TI91" s="13"/>
      <c r="TJ91" s="13"/>
      <c r="TK91" s="13"/>
      <c r="TL91" s="13"/>
      <c r="TM91" s="13"/>
      <c r="TN91" s="13"/>
      <c r="TO91" s="13"/>
      <c r="TP91" s="13"/>
      <c r="TQ91" s="13"/>
      <c r="TR91" s="13"/>
      <c r="TS91" s="13"/>
      <c r="TT91" s="13"/>
      <c r="TU91" s="13"/>
      <c r="TV91" s="13"/>
      <c r="TW91" s="13"/>
      <c r="TX91" s="13"/>
      <c r="TY91" s="13"/>
      <c r="TZ91" s="13"/>
      <c r="UA91" s="13"/>
      <c r="UB91" s="13"/>
      <c r="UC91" s="13"/>
      <c r="UD91" s="13"/>
      <c r="UE91" s="13"/>
      <c r="UF91" s="13"/>
      <c r="UG91" s="13"/>
      <c r="UH91" s="13"/>
      <c r="UI91" s="13"/>
      <c r="UJ91" s="13"/>
      <c r="UK91" s="13"/>
      <c r="UL91" s="13"/>
      <c r="UM91" s="13"/>
      <c r="UN91" s="13"/>
      <c r="UO91" s="13"/>
      <c r="UP91" s="13"/>
      <c r="UQ91" s="13"/>
      <c r="UR91" s="13"/>
      <c r="US91" s="13"/>
      <c r="UT91" s="13"/>
      <c r="UU91" s="13"/>
      <c r="UV91" s="13"/>
      <c r="UW91" s="13"/>
      <c r="UX91" s="13"/>
      <c r="UY91" s="13"/>
      <c r="UZ91" s="13"/>
      <c r="VA91" s="13"/>
      <c r="VB91" s="13"/>
      <c r="VC91" s="13"/>
      <c r="VD91" s="13"/>
      <c r="VE91" s="13"/>
      <c r="VF91" s="13"/>
      <c r="VG91" s="13"/>
      <c r="VH91" s="13"/>
      <c r="VI91" s="13"/>
      <c r="VJ91" s="13"/>
      <c r="VK91" s="13"/>
      <c r="VL91" s="13"/>
      <c r="VM91" s="13"/>
      <c r="VN91" s="13"/>
      <c r="VO91" s="13"/>
      <c r="VP91" s="13"/>
      <c r="VQ91" s="13"/>
      <c r="VR91" s="13"/>
      <c r="VS91" s="13"/>
      <c r="VT91" s="13"/>
    </row>
    <row r="92" spans="1:592" s="21" customFormat="1" ht="31.5" x14ac:dyDescent="0.2">
      <c r="A92" s="10" t="s">
        <v>357</v>
      </c>
      <c r="B92" s="11">
        <v>73632791</v>
      </c>
      <c r="C92" s="11" t="s">
        <v>340</v>
      </c>
      <c r="D92" s="11">
        <v>3988103</v>
      </c>
      <c r="E92" s="225" t="s">
        <v>285</v>
      </c>
      <c r="F92" s="192" t="s">
        <v>278</v>
      </c>
      <c r="G92" s="201">
        <f>IFERROR(VLOOKUP(D92,List1!$A$5:$B$227,2,FALSE),"0")</f>
        <v>6498000</v>
      </c>
      <c r="H92" s="41" t="str">
        <f>IFERROR(VLOOKUP(D92,List1!$D$5:$E$41,2,FALSE),"0")</f>
        <v>0</v>
      </c>
      <c r="I92" s="41">
        <f>IFERROR(VLOOKUP(D92,List1!$G$5:$H$227,2,FALSE),"0")</f>
        <v>371532</v>
      </c>
      <c r="J92" s="40">
        <f t="shared" si="10"/>
        <v>6869532</v>
      </c>
      <c r="K92" s="41">
        <f>IFERROR(VLOOKUP(D92,List1!$J$5:$K$227,2,FALSE),"0")</f>
        <v>290000</v>
      </c>
      <c r="L92" s="41">
        <f>IFERROR(VLOOKUP(D92,List1!$M$5:$N$112,2,FALSE),"0")</f>
        <v>156000</v>
      </c>
      <c r="M92" s="43">
        <v>0</v>
      </c>
      <c r="N92" s="80">
        <f>VLOOKUP($D$5:$D$251,List2!$A$2:$B$241,2,FALSE)</f>
        <v>685714</v>
      </c>
      <c r="O92" s="80">
        <f>IFERROR(VLOOKUP($D$5:$D$260,List1!$Y$5:$Z$244,2,FALSE),0)</f>
        <v>0</v>
      </c>
      <c r="P92" s="202">
        <f>IFERROR(VLOOKUP($D$5:$D$260,List1!$AB$5:$AC$244,2,FALSE),0)</f>
        <v>0</v>
      </c>
      <c r="Q92" s="201">
        <f>IFERROR(VLOOKUP($D$5:$D$260,List1!$S$5:$T$231,2,FALSE),0)</f>
        <v>5914186</v>
      </c>
      <c r="R92" s="41">
        <v>0</v>
      </c>
      <c r="S92" s="41">
        <f>IFERROR(VLOOKUP($D$5:$D$260,List1!$AE$5:$AF$231,2,FALSE),0)</f>
        <v>1744598</v>
      </c>
      <c r="T92" s="41">
        <f t="shared" si="11"/>
        <v>7658784</v>
      </c>
      <c r="U92" s="41">
        <f>IFERROR(VLOOKUP(D92,List1!$P$5:$Q$110,2,FALSE),"0")</f>
        <v>490000</v>
      </c>
      <c r="V92" s="41">
        <v>0</v>
      </c>
      <c r="W92" s="248">
        <v>0</v>
      </c>
      <c r="X92" s="211">
        <f t="shared" si="12"/>
        <v>8148784</v>
      </c>
      <c r="Y92" s="219"/>
      <c r="Z92" s="80">
        <f>IFERROR(VLOOKUP($D$5:$D$260,#REF!,3,FALSE),0)</f>
        <v>0</v>
      </c>
      <c r="AA92" s="80">
        <f>IFERROR(VLOOKUP($D$5:$D$260,#REF!,3,FALSE),0)</f>
        <v>0</v>
      </c>
      <c r="AB92" s="243">
        <v>0</v>
      </c>
      <c r="AC92" s="202">
        <f t="shared" si="13"/>
        <v>0</v>
      </c>
      <c r="AD92" s="259">
        <f t="shared" si="14"/>
        <v>-490000</v>
      </c>
      <c r="AE92" s="260">
        <f t="shared" si="15"/>
        <v>-1</v>
      </c>
      <c r="AF92" s="260">
        <f t="shared" si="16"/>
        <v>-1</v>
      </c>
      <c r="AG92" s="260">
        <f t="shared" si="17"/>
        <v>-1</v>
      </c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  <c r="IU92" s="13"/>
      <c r="IV92" s="13"/>
      <c r="IW92" s="13"/>
      <c r="IX92" s="13"/>
      <c r="IY92" s="13"/>
      <c r="IZ92" s="13"/>
      <c r="JA92" s="13"/>
      <c r="JB92" s="13"/>
      <c r="JC92" s="13"/>
      <c r="JD92" s="13"/>
      <c r="JE92" s="13"/>
      <c r="JF92" s="13"/>
      <c r="JG92" s="13"/>
      <c r="JH92" s="13"/>
      <c r="JI92" s="13"/>
      <c r="JJ92" s="13"/>
      <c r="JK92" s="13"/>
      <c r="JL92" s="13"/>
      <c r="JM92" s="13"/>
      <c r="JN92" s="13"/>
      <c r="JO92" s="13"/>
      <c r="JP92" s="13"/>
      <c r="JQ92" s="13"/>
      <c r="JR92" s="13"/>
      <c r="JS92" s="13"/>
      <c r="JT92" s="13"/>
      <c r="JU92" s="13"/>
      <c r="JV92" s="13"/>
      <c r="JW92" s="13"/>
      <c r="JX92" s="13"/>
      <c r="JY92" s="13"/>
      <c r="JZ92" s="13"/>
      <c r="KA92" s="13"/>
      <c r="KB92" s="13"/>
      <c r="KC92" s="13"/>
      <c r="KD92" s="13"/>
      <c r="KE92" s="13"/>
      <c r="KF92" s="13"/>
      <c r="KG92" s="13"/>
      <c r="KH92" s="13"/>
      <c r="KI92" s="13"/>
      <c r="KJ92" s="13"/>
      <c r="KK92" s="13"/>
      <c r="KL92" s="13"/>
      <c r="KM92" s="13"/>
      <c r="KN92" s="13"/>
      <c r="KO92" s="13"/>
      <c r="KP92" s="13"/>
      <c r="KQ92" s="13"/>
      <c r="KR92" s="13"/>
      <c r="KS92" s="13"/>
      <c r="KT92" s="13"/>
      <c r="KU92" s="13"/>
      <c r="KV92" s="13"/>
      <c r="KW92" s="13"/>
      <c r="KX92" s="13"/>
      <c r="KY92" s="13"/>
      <c r="KZ92" s="13"/>
      <c r="LA92" s="13"/>
      <c r="LB92" s="13"/>
      <c r="LC92" s="13"/>
      <c r="LD92" s="13"/>
      <c r="LE92" s="13"/>
      <c r="LF92" s="13"/>
      <c r="LG92" s="13"/>
      <c r="LH92" s="13"/>
      <c r="LI92" s="13"/>
      <c r="LJ92" s="13"/>
      <c r="LK92" s="13"/>
      <c r="LL92" s="13"/>
      <c r="LM92" s="13"/>
      <c r="LN92" s="13"/>
      <c r="LO92" s="13"/>
      <c r="LP92" s="13"/>
      <c r="LQ92" s="13"/>
      <c r="LR92" s="13"/>
      <c r="LS92" s="13"/>
      <c r="LT92" s="13"/>
      <c r="LU92" s="13"/>
      <c r="LV92" s="13"/>
      <c r="LW92" s="13"/>
      <c r="LX92" s="13"/>
      <c r="LY92" s="13"/>
      <c r="LZ92" s="13"/>
      <c r="MA92" s="13"/>
      <c r="MB92" s="13"/>
      <c r="MC92" s="13"/>
      <c r="MD92" s="13"/>
      <c r="ME92" s="13"/>
      <c r="MF92" s="13"/>
      <c r="MG92" s="13"/>
      <c r="MH92" s="13"/>
      <c r="MI92" s="13"/>
      <c r="MJ92" s="13"/>
      <c r="MK92" s="13"/>
      <c r="ML92" s="13"/>
      <c r="MM92" s="13"/>
      <c r="MN92" s="13"/>
      <c r="MO92" s="13"/>
      <c r="MP92" s="13"/>
      <c r="MQ92" s="13"/>
      <c r="MR92" s="13"/>
      <c r="MS92" s="13"/>
      <c r="MT92" s="13"/>
      <c r="MU92" s="13"/>
      <c r="MV92" s="13"/>
      <c r="MW92" s="13"/>
      <c r="MX92" s="13"/>
      <c r="MY92" s="13"/>
      <c r="MZ92" s="13"/>
      <c r="NA92" s="13"/>
      <c r="NB92" s="13"/>
      <c r="NC92" s="13"/>
      <c r="ND92" s="13"/>
      <c r="NE92" s="13"/>
      <c r="NF92" s="13"/>
      <c r="NG92" s="13"/>
      <c r="NH92" s="13"/>
      <c r="NI92" s="13"/>
      <c r="NJ92" s="13"/>
      <c r="NK92" s="13"/>
      <c r="NL92" s="13"/>
      <c r="NM92" s="13"/>
      <c r="NN92" s="13"/>
      <c r="NO92" s="13"/>
      <c r="NP92" s="13"/>
      <c r="NQ92" s="13"/>
      <c r="NR92" s="13"/>
      <c r="NS92" s="13"/>
      <c r="NT92" s="13"/>
      <c r="NU92" s="13"/>
      <c r="NV92" s="13"/>
      <c r="NW92" s="13"/>
      <c r="NX92" s="13"/>
      <c r="NY92" s="13"/>
      <c r="NZ92" s="13"/>
      <c r="OA92" s="13"/>
      <c r="OB92" s="13"/>
      <c r="OC92" s="13"/>
      <c r="OD92" s="13"/>
      <c r="OE92" s="13"/>
      <c r="OF92" s="13"/>
      <c r="OG92" s="13"/>
      <c r="OH92" s="13"/>
      <c r="OI92" s="13"/>
      <c r="OJ92" s="13"/>
      <c r="OK92" s="13"/>
      <c r="OL92" s="13"/>
      <c r="OM92" s="13"/>
      <c r="ON92" s="13"/>
      <c r="OO92" s="13"/>
      <c r="OP92" s="13"/>
      <c r="OQ92" s="13"/>
      <c r="OR92" s="13"/>
      <c r="OS92" s="13"/>
      <c r="OT92" s="13"/>
      <c r="OU92" s="13"/>
      <c r="OV92" s="13"/>
      <c r="OW92" s="13"/>
      <c r="OX92" s="13"/>
      <c r="OY92" s="13"/>
      <c r="OZ92" s="13"/>
      <c r="PA92" s="13"/>
      <c r="PB92" s="13"/>
      <c r="PC92" s="13"/>
      <c r="PD92" s="13"/>
      <c r="PE92" s="13"/>
      <c r="PF92" s="13"/>
      <c r="PG92" s="13"/>
      <c r="PH92" s="13"/>
      <c r="PI92" s="13"/>
      <c r="PJ92" s="13"/>
      <c r="PK92" s="13"/>
      <c r="PL92" s="13"/>
      <c r="PM92" s="13"/>
      <c r="PN92" s="13"/>
      <c r="PO92" s="13"/>
      <c r="PP92" s="13"/>
      <c r="PQ92" s="13"/>
      <c r="PR92" s="13"/>
      <c r="PS92" s="13"/>
      <c r="PT92" s="13"/>
      <c r="PU92" s="13"/>
      <c r="PV92" s="13"/>
      <c r="PW92" s="13"/>
      <c r="PX92" s="13"/>
      <c r="PY92" s="13"/>
      <c r="PZ92" s="13"/>
      <c r="QA92" s="13"/>
      <c r="QB92" s="13"/>
      <c r="QC92" s="13"/>
      <c r="QD92" s="13"/>
      <c r="QE92" s="13"/>
      <c r="QF92" s="13"/>
      <c r="QG92" s="13"/>
      <c r="QH92" s="13"/>
      <c r="QI92" s="13"/>
      <c r="QJ92" s="13"/>
      <c r="QK92" s="13"/>
      <c r="QL92" s="13"/>
      <c r="QM92" s="13"/>
      <c r="QN92" s="13"/>
      <c r="QO92" s="13"/>
      <c r="QP92" s="13"/>
      <c r="QQ92" s="13"/>
      <c r="QR92" s="13"/>
      <c r="QS92" s="13"/>
      <c r="QT92" s="13"/>
      <c r="QU92" s="13"/>
      <c r="QV92" s="13"/>
      <c r="QW92" s="13"/>
      <c r="QX92" s="13"/>
      <c r="QY92" s="13"/>
      <c r="QZ92" s="13"/>
      <c r="RA92" s="13"/>
      <c r="RB92" s="13"/>
      <c r="RC92" s="13"/>
      <c r="RD92" s="13"/>
      <c r="RE92" s="13"/>
      <c r="RF92" s="13"/>
      <c r="RG92" s="13"/>
      <c r="RH92" s="13"/>
      <c r="RI92" s="13"/>
      <c r="RJ92" s="13"/>
      <c r="RK92" s="13"/>
      <c r="RL92" s="13"/>
      <c r="RM92" s="13"/>
      <c r="RN92" s="13"/>
      <c r="RO92" s="13"/>
      <c r="RP92" s="13"/>
      <c r="RQ92" s="13"/>
      <c r="RR92" s="13"/>
      <c r="RS92" s="13"/>
      <c r="RT92" s="13"/>
      <c r="RU92" s="13"/>
      <c r="RV92" s="13"/>
      <c r="RW92" s="13"/>
      <c r="RX92" s="13"/>
      <c r="RY92" s="13"/>
      <c r="RZ92" s="13"/>
      <c r="SA92" s="13"/>
      <c r="SB92" s="13"/>
      <c r="SC92" s="13"/>
      <c r="SD92" s="13"/>
      <c r="SE92" s="13"/>
      <c r="SF92" s="13"/>
      <c r="SG92" s="13"/>
      <c r="SH92" s="13"/>
      <c r="SI92" s="13"/>
      <c r="SJ92" s="13"/>
      <c r="SK92" s="13"/>
      <c r="SL92" s="13"/>
      <c r="SM92" s="13"/>
      <c r="SN92" s="13"/>
      <c r="SO92" s="13"/>
      <c r="SP92" s="13"/>
      <c r="SQ92" s="13"/>
      <c r="SR92" s="13"/>
      <c r="SS92" s="13"/>
      <c r="ST92" s="13"/>
      <c r="SU92" s="13"/>
      <c r="SV92" s="13"/>
      <c r="SW92" s="13"/>
      <c r="SX92" s="13"/>
      <c r="SY92" s="13"/>
      <c r="SZ92" s="13"/>
      <c r="TA92" s="13"/>
      <c r="TB92" s="13"/>
      <c r="TC92" s="13"/>
      <c r="TD92" s="13"/>
      <c r="TE92" s="13"/>
      <c r="TF92" s="13"/>
      <c r="TG92" s="13"/>
      <c r="TH92" s="13"/>
      <c r="TI92" s="13"/>
      <c r="TJ92" s="13"/>
      <c r="TK92" s="13"/>
      <c r="TL92" s="13"/>
      <c r="TM92" s="13"/>
      <c r="TN92" s="13"/>
      <c r="TO92" s="13"/>
      <c r="TP92" s="13"/>
      <c r="TQ92" s="13"/>
      <c r="TR92" s="13"/>
      <c r="TS92" s="13"/>
      <c r="TT92" s="13"/>
      <c r="TU92" s="13"/>
      <c r="TV92" s="13"/>
      <c r="TW92" s="13"/>
      <c r="TX92" s="13"/>
      <c r="TY92" s="13"/>
      <c r="TZ92" s="13"/>
      <c r="UA92" s="13"/>
      <c r="UB92" s="13"/>
      <c r="UC92" s="13"/>
      <c r="UD92" s="13"/>
      <c r="UE92" s="13"/>
      <c r="UF92" s="13"/>
      <c r="UG92" s="13"/>
      <c r="UH92" s="13"/>
      <c r="UI92" s="13"/>
      <c r="UJ92" s="13"/>
      <c r="UK92" s="13"/>
      <c r="UL92" s="13"/>
      <c r="UM92" s="13"/>
      <c r="UN92" s="13"/>
      <c r="UO92" s="13"/>
      <c r="UP92" s="13"/>
      <c r="UQ92" s="13"/>
      <c r="UR92" s="13"/>
      <c r="US92" s="13"/>
      <c r="UT92" s="13"/>
      <c r="UU92" s="13"/>
      <c r="UV92" s="13"/>
      <c r="UW92" s="13"/>
      <c r="UX92" s="13"/>
      <c r="UY92" s="13"/>
      <c r="UZ92" s="13"/>
      <c r="VA92" s="13"/>
      <c r="VB92" s="13"/>
      <c r="VC92" s="13"/>
      <c r="VD92" s="13"/>
      <c r="VE92" s="13"/>
      <c r="VF92" s="13"/>
      <c r="VG92" s="13"/>
      <c r="VH92" s="13"/>
      <c r="VI92" s="13"/>
      <c r="VJ92" s="13"/>
      <c r="VK92" s="13"/>
      <c r="VL92" s="13"/>
      <c r="VM92" s="13"/>
      <c r="VN92" s="13"/>
      <c r="VO92" s="13"/>
      <c r="VP92" s="13"/>
      <c r="VQ92" s="13"/>
      <c r="VR92" s="13"/>
      <c r="VS92" s="13"/>
      <c r="VT92" s="13"/>
    </row>
    <row r="93" spans="1:592" s="13" customFormat="1" ht="31.5" x14ac:dyDescent="0.2">
      <c r="A93" s="10" t="s">
        <v>358</v>
      </c>
      <c r="B93" s="11">
        <v>8207364</v>
      </c>
      <c r="C93" s="11" t="s">
        <v>302</v>
      </c>
      <c r="D93" s="11">
        <v>7826049</v>
      </c>
      <c r="E93" s="225" t="s">
        <v>285</v>
      </c>
      <c r="F93" s="192" t="s">
        <v>278</v>
      </c>
      <c r="G93" s="201">
        <f>IFERROR(VLOOKUP(D93,List1!$A$5:$B$227,2,FALSE),"0")</f>
        <v>2318000</v>
      </c>
      <c r="H93" s="41" t="str">
        <f>IFERROR(VLOOKUP(D93,List1!$D$5:$E$41,2,FALSE),"0")</f>
        <v>0</v>
      </c>
      <c r="I93" s="41">
        <f>IFERROR(VLOOKUP(D93,List1!$G$5:$H$227,2,FALSE),"0")</f>
        <v>415895</v>
      </c>
      <c r="J93" s="40">
        <f t="shared" si="10"/>
        <v>2733895</v>
      </c>
      <c r="K93" s="41" t="str">
        <f>IFERROR(VLOOKUP(D93,List1!$J$5:$K$227,2,FALSE),"0")</f>
        <v>0</v>
      </c>
      <c r="L93" s="41" t="str">
        <f>IFERROR(VLOOKUP(D93,List1!$M$5:$N$112,2,FALSE),"0")</f>
        <v>0</v>
      </c>
      <c r="M93" s="43">
        <v>0</v>
      </c>
      <c r="N93" s="80">
        <f>VLOOKUP($D$5:$D$251,List2!$A$2:$B$241,2,FALSE)</f>
        <v>0</v>
      </c>
      <c r="O93" s="80">
        <f>IFERROR(VLOOKUP($D$5:$D$260,List1!$Y$5:$Z$244,2,FALSE),0)</f>
        <v>0</v>
      </c>
      <c r="P93" s="202">
        <f>IFERROR(VLOOKUP($D$5:$D$260,List1!$AB$5:$AC$244,2,FALSE),0)</f>
        <v>0</v>
      </c>
      <c r="Q93" s="201">
        <f>IFERROR(VLOOKUP($D$5:$D$260,List1!$S$5:$T$231,2,FALSE),0)</f>
        <v>2437413</v>
      </c>
      <c r="R93" s="41">
        <v>0</v>
      </c>
      <c r="S93" s="41">
        <f>IFERROR(VLOOKUP($D$5:$D$260,List1!$AE$5:$AF$231,2,FALSE),0)</f>
        <v>581533</v>
      </c>
      <c r="T93" s="41">
        <f t="shared" si="11"/>
        <v>3018946</v>
      </c>
      <c r="U93" s="41" t="str">
        <f>IFERROR(VLOOKUP(D93,List1!$P$5:$Q$110,2,FALSE),"0")</f>
        <v>0</v>
      </c>
      <c r="V93" s="41">
        <v>0</v>
      </c>
      <c r="W93" s="248">
        <v>0</v>
      </c>
      <c r="X93" s="211">
        <f t="shared" si="12"/>
        <v>3018946</v>
      </c>
      <c r="Y93" s="219"/>
      <c r="Z93" s="80">
        <f>IFERROR(VLOOKUP($D$5:$D$260,#REF!,3,FALSE),0)</f>
        <v>0</v>
      </c>
      <c r="AA93" s="80">
        <f>IFERROR(VLOOKUP($D$5:$D$260,#REF!,3,FALSE),0)</f>
        <v>0</v>
      </c>
      <c r="AB93" s="243">
        <v>0</v>
      </c>
      <c r="AC93" s="202">
        <f t="shared" si="13"/>
        <v>0</v>
      </c>
      <c r="AD93" s="259">
        <f t="shared" si="14"/>
        <v>0</v>
      </c>
      <c r="AE93" s="260">
        <f t="shared" si="15"/>
        <v>0</v>
      </c>
      <c r="AF93" s="260">
        <f t="shared" si="16"/>
        <v>0</v>
      </c>
      <c r="AG93" s="260">
        <f t="shared" si="17"/>
        <v>0</v>
      </c>
    </row>
    <row r="94" spans="1:592" s="13" customFormat="1" ht="31.5" x14ac:dyDescent="0.2">
      <c r="A94" s="10" t="s">
        <v>358</v>
      </c>
      <c r="B94" s="11">
        <v>8207364</v>
      </c>
      <c r="C94" s="11" t="s">
        <v>302</v>
      </c>
      <c r="D94" s="11">
        <v>3055579</v>
      </c>
      <c r="E94" s="225" t="s">
        <v>290</v>
      </c>
      <c r="F94" s="192" t="s">
        <v>278</v>
      </c>
      <c r="G94" s="201">
        <f>IFERROR(VLOOKUP(D94,List1!$A$5:$B$227,2,FALSE),"0")</f>
        <v>14960000</v>
      </c>
      <c r="H94" s="41" t="str">
        <f>IFERROR(VLOOKUP(D94,List1!$D$5:$E$41,2,FALSE),"0")</f>
        <v>0</v>
      </c>
      <c r="I94" s="41">
        <f>IFERROR(VLOOKUP(D94,List1!$G$5:$H$227,2,FALSE),"0")</f>
        <v>2189704</v>
      </c>
      <c r="J94" s="40">
        <f t="shared" si="10"/>
        <v>17149704</v>
      </c>
      <c r="K94" s="41" t="str">
        <f>IFERROR(VLOOKUP(D94,List1!$J$5:$K$227,2,FALSE),"0")</f>
        <v>0</v>
      </c>
      <c r="L94" s="41" t="str">
        <f>IFERROR(VLOOKUP(D94,List1!$M$5:$N$112,2,FALSE),"0")</f>
        <v>0</v>
      </c>
      <c r="M94" s="43">
        <v>0</v>
      </c>
      <c r="N94" s="80">
        <f>VLOOKUP($D$5:$D$251,List2!$A$2:$B$241,2,FALSE)</f>
        <v>0</v>
      </c>
      <c r="O94" s="80">
        <f>IFERROR(VLOOKUP($D$5:$D$260,List1!$Y$5:$Z$244,2,FALSE),0)</f>
        <v>0</v>
      </c>
      <c r="P94" s="202">
        <f>IFERROR(VLOOKUP($D$5:$D$260,List1!$AB$5:$AC$244,2,FALSE),0)</f>
        <v>0</v>
      </c>
      <c r="Q94" s="201">
        <f>IFERROR(VLOOKUP($D$5:$D$260,List1!$S$5:$T$231,2,FALSE),0)</f>
        <v>17250989</v>
      </c>
      <c r="R94" s="41">
        <v>0</v>
      </c>
      <c r="S94" s="41">
        <f>IFERROR(VLOOKUP($D$5:$D$260,List1!$AE$5:$AF$231,2,FALSE),0)</f>
        <v>1356909</v>
      </c>
      <c r="T94" s="41">
        <f t="shared" si="11"/>
        <v>18607898</v>
      </c>
      <c r="U94" s="41" t="str">
        <f>IFERROR(VLOOKUP(D94,List1!$P$5:$Q$110,2,FALSE),"0")</f>
        <v>0</v>
      </c>
      <c r="V94" s="41">
        <v>0</v>
      </c>
      <c r="W94" s="248">
        <v>0</v>
      </c>
      <c r="X94" s="211">
        <f t="shared" si="12"/>
        <v>18607898</v>
      </c>
      <c r="Y94" s="219"/>
      <c r="Z94" s="80">
        <f>IFERROR(VLOOKUP($D$5:$D$260,#REF!,3,FALSE),0)</f>
        <v>0</v>
      </c>
      <c r="AA94" s="80">
        <f>IFERROR(VLOOKUP($D$5:$D$260,#REF!,3,FALSE),0)</f>
        <v>0</v>
      </c>
      <c r="AB94" s="243">
        <v>0</v>
      </c>
      <c r="AC94" s="202">
        <f t="shared" si="13"/>
        <v>0</v>
      </c>
      <c r="AD94" s="259">
        <f t="shared" si="14"/>
        <v>0</v>
      </c>
      <c r="AE94" s="260">
        <f t="shared" si="15"/>
        <v>0</v>
      </c>
      <c r="AF94" s="260">
        <f t="shared" si="16"/>
        <v>0</v>
      </c>
      <c r="AG94" s="260">
        <f t="shared" si="17"/>
        <v>0</v>
      </c>
    </row>
    <row r="95" spans="1:592" s="25" customFormat="1" ht="63" x14ac:dyDescent="0.2">
      <c r="A95" s="10" t="s">
        <v>359</v>
      </c>
      <c r="B95" s="11">
        <v>60254050</v>
      </c>
      <c r="C95" s="11" t="s">
        <v>324</v>
      </c>
      <c r="D95" s="11">
        <v>1526260</v>
      </c>
      <c r="E95" s="225" t="s">
        <v>325</v>
      </c>
      <c r="F95" s="192" t="s">
        <v>300</v>
      </c>
      <c r="G95" s="201">
        <f>IFERROR(VLOOKUP(D95,List1!$A$5:$B$227,2,FALSE),"0")</f>
        <v>1717000</v>
      </c>
      <c r="H95" s="41" t="str">
        <f>IFERROR(VLOOKUP(D95,List1!$D$5:$E$41,2,FALSE),"0")</f>
        <v>0</v>
      </c>
      <c r="I95" s="41">
        <f>IFERROR(VLOOKUP(D95,List1!$G$5:$H$227,2,FALSE),"0")</f>
        <v>280036</v>
      </c>
      <c r="J95" s="40">
        <f t="shared" si="10"/>
        <v>1997036</v>
      </c>
      <c r="K95" s="41" t="str">
        <f>IFERROR(VLOOKUP(D95,List1!$J$5:$K$227,2,FALSE),"0")</f>
        <v>0</v>
      </c>
      <c r="L95" s="41">
        <f>IFERROR(VLOOKUP(D95,List1!$M$5:$N$112,2,FALSE),"0")</f>
        <v>46000</v>
      </c>
      <c r="M95" s="43">
        <v>0</v>
      </c>
      <c r="N95" s="80">
        <f>VLOOKUP($D$5:$D$251,List2!$A$2:$B$241,2,FALSE)</f>
        <v>57261</v>
      </c>
      <c r="O95" s="80">
        <f>IFERROR(VLOOKUP($D$5:$D$260,List1!$Y$5:$Z$244,2,FALSE),0)</f>
        <v>0</v>
      </c>
      <c r="P95" s="202">
        <f>IFERROR(VLOOKUP($D$5:$D$260,List1!$AB$5:$AC$244,2,FALSE),0)</f>
        <v>0</v>
      </c>
      <c r="Q95" s="201">
        <f>IFERROR(VLOOKUP($D$5:$D$260,List1!$S$5:$T$231,2,FALSE),0)</f>
        <v>2234987</v>
      </c>
      <c r="R95" s="41">
        <v>0</v>
      </c>
      <c r="S95" s="41">
        <f>IFERROR(VLOOKUP($D$5:$D$260,List1!$AE$5:$AF$231,2,FALSE),0)</f>
        <v>550000</v>
      </c>
      <c r="T95" s="41">
        <f t="shared" si="11"/>
        <v>2784987</v>
      </c>
      <c r="U95" s="41" t="str">
        <f>IFERROR(VLOOKUP(D95,List1!$P$5:$Q$110,2,FALSE),"0")</f>
        <v>0</v>
      </c>
      <c r="V95" s="41">
        <v>0</v>
      </c>
      <c r="W95" s="248">
        <v>0</v>
      </c>
      <c r="X95" s="211">
        <f t="shared" si="12"/>
        <v>2784987</v>
      </c>
      <c r="Y95" s="219"/>
      <c r="Z95" s="80">
        <f>IFERROR(VLOOKUP($D$5:$D$260,#REF!,3,FALSE),0)</f>
        <v>0</v>
      </c>
      <c r="AA95" s="80">
        <f>IFERROR(VLOOKUP($D$5:$D$260,#REF!,3,FALSE),0)</f>
        <v>0</v>
      </c>
      <c r="AB95" s="243">
        <v>0</v>
      </c>
      <c r="AC95" s="202">
        <f t="shared" si="13"/>
        <v>0</v>
      </c>
      <c r="AD95" s="259">
        <f t="shared" si="14"/>
        <v>0</v>
      </c>
      <c r="AE95" s="260">
        <f t="shared" si="15"/>
        <v>0</v>
      </c>
      <c r="AF95" s="260">
        <f t="shared" si="16"/>
        <v>0</v>
      </c>
      <c r="AG95" s="260">
        <f t="shared" si="17"/>
        <v>0</v>
      </c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  <c r="IT95" s="13"/>
      <c r="IU95" s="13"/>
      <c r="IV95" s="13"/>
      <c r="IW95" s="13"/>
      <c r="IX95" s="13"/>
      <c r="IY95" s="13"/>
      <c r="IZ95" s="13"/>
      <c r="JA95" s="13"/>
      <c r="JB95" s="13"/>
      <c r="JC95" s="13"/>
      <c r="JD95" s="13"/>
      <c r="JE95" s="13"/>
      <c r="JF95" s="13"/>
      <c r="JG95" s="13"/>
      <c r="JH95" s="13"/>
      <c r="JI95" s="13"/>
      <c r="JJ95" s="13"/>
      <c r="JK95" s="13"/>
      <c r="JL95" s="13"/>
      <c r="JM95" s="13"/>
      <c r="JN95" s="13"/>
      <c r="JO95" s="13"/>
      <c r="JP95" s="13"/>
      <c r="JQ95" s="13"/>
      <c r="JR95" s="13"/>
      <c r="JS95" s="13"/>
      <c r="JT95" s="13"/>
      <c r="JU95" s="13"/>
      <c r="JV95" s="13"/>
      <c r="JW95" s="13"/>
      <c r="JX95" s="13"/>
      <c r="JY95" s="13"/>
      <c r="JZ95" s="13"/>
      <c r="KA95" s="13"/>
      <c r="KB95" s="13"/>
      <c r="KC95" s="13"/>
      <c r="KD95" s="13"/>
      <c r="KE95" s="13"/>
      <c r="KF95" s="13"/>
      <c r="KG95" s="13"/>
      <c r="KH95" s="13"/>
      <c r="KI95" s="13"/>
      <c r="KJ95" s="13"/>
      <c r="KK95" s="13"/>
      <c r="KL95" s="13"/>
      <c r="KM95" s="13"/>
      <c r="KN95" s="13"/>
      <c r="KO95" s="13"/>
      <c r="KP95" s="13"/>
      <c r="KQ95" s="13"/>
      <c r="KR95" s="13"/>
      <c r="KS95" s="13"/>
      <c r="KT95" s="13"/>
      <c r="KU95" s="13"/>
      <c r="KV95" s="13"/>
      <c r="KW95" s="13"/>
      <c r="KX95" s="13"/>
      <c r="KY95" s="13"/>
      <c r="KZ95" s="13"/>
      <c r="LA95" s="13"/>
      <c r="LB95" s="13"/>
      <c r="LC95" s="13"/>
      <c r="LD95" s="13"/>
      <c r="LE95" s="13"/>
      <c r="LF95" s="13"/>
      <c r="LG95" s="13"/>
      <c r="LH95" s="13"/>
      <c r="LI95" s="13"/>
      <c r="LJ95" s="13"/>
      <c r="LK95" s="13"/>
      <c r="LL95" s="13"/>
      <c r="LM95" s="13"/>
      <c r="LN95" s="13"/>
      <c r="LO95" s="13"/>
      <c r="LP95" s="13"/>
      <c r="LQ95" s="13"/>
      <c r="LR95" s="13"/>
      <c r="LS95" s="13"/>
      <c r="LT95" s="13"/>
      <c r="LU95" s="13"/>
      <c r="LV95" s="13"/>
      <c r="LW95" s="13"/>
      <c r="LX95" s="13"/>
      <c r="LY95" s="13"/>
      <c r="LZ95" s="13"/>
      <c r="MA95" s="13"/>
      <c r="MB95" s="13"/>
      <c r="MC95" s="13"/>
      <c r="MD95" s="13"/>
      <c r="ME95" s="13"/>
      <c r="MF95" s="13"/>
      <c r="MG95" s="13"/>
      <c r="MH95" s="13"/>
      <c r="MI95" s="13"/>
      <c r="MJ95" s="13"/>
      <c r="MK95" s="13"/>
      <c r="ML95" s="13"/>
      <c r="MM95" s="13"/>
      <c r="MN95" s="13"/>
      <c r="MO95" s="13"/>
      <c r="MP95" s="13"/>
      <c r="MQ95" s="13"/>
      <c r="MR95" s="13"/>
      <c r="MS95" s="13"/>
      <c r="MT95" s="13"/>
      <c r="MU95" s="13"/>
      <c r="MV95" s="13"/>
      <c r="MW95" s="13"/>
      <c r="MX95" s="13"/>
      <c r="MY95" s="13"/>
      <c r="MZ95" s="13"/>
      <c r="NA95" s="13"/>
      <c r="NB95" s="13"/>
      <c r="NC95" s="13"/>
      <c r="ND95" s="13"/>
      <c r="NE95" s="13"/>
      <c r="NF95" s="13"/>
      <c r="NG95" s="13"/>
      <c r="NH95" s="13"/>
      <c r="NI95" s="13"/>
      <c r="NJ95" s="13"/>
      <c r="NK95" s="13"/>
      <c r="NL95" s="13"/>
      <c r="NM95" s="13"/>
      <c r="NN95" s="13"/>
      <c r="NO95" s="13"/>
      <c r="NP95" s="13"/>
      <c r="NQ95" s="13"/>
      <c r="NR95" s="13"/>
      <c r="NS95" s="13"/>
      <c r="NT95" s="13"/>
      <c r="NU95" s="13"/>
      <c r="NV95" s="13"/>
      <c r="NW95" s="13"/>
      <c r="NX95" s="13"/>
      <c r="NY95" s="13"/>
      <c r="NZ95" s="13"/>
      <c r="OA95" s="13"/>
      <c r="OB95" s="13"/>
      <c r="OC95" s="13"/>
      <c r="OD95" s="13"/>
      <c r="OE95" s="13"/>
      <c r="OF95" s="13"/>
      <c r="OG95" s="13"/>
      <c r="OH95" s="13"/>
      <c r="OI95" s="13"/>
      <c r="OJ95" s="13"/>
      <c r="OK95" s="13"/>
      <c r="OL95" s="13"/>
      <c r="OM95" s="13"/>
      <c r="ON95" s="13"/>
      <c r="OO95" s="13"/>
      <c r="OP95" s="13"/>
      <c r="OQ95" s="13"/>
      <c r="OR95" s="13"/>
      <c r="OS95" s="13"/>
      <c r="OT95" s="13"/>
      <c r="OU95" s="13"/>
      <c r="OV95" s="13"/>
      <c r="OW95" s="13"/>
      <c r="OX95" s="13"/>
      <c r="OY95" s="13"/>
      <c r="OZ95" s="13"/>
      <c r="PA95" s="13"/>
      <c r="PB95" s="13"/>
      <c r="PC95" s="13"/>
      <c r="PD95" s="13"/>
      <c r="PE95" s="13"/>
      <c r="PF95" s="13"/>
      <c r="PG95" s="13"/>
      <c r="PH95" s="13"/>
      <c r="PI95" s="13"/>
      <c r="PJ95" s="13"/>
      <c r="PK95" s="13"/>
      <c r="PL95" s="13"/>
      <c r="PM95" s="13"/>
      <c r="PN95" s="13"/>
      <c r="PO95" s="13"/>
      <c r="PP95" s="13"/>
      <c r="PQ95" s="13"/>
      <c r="PR95" s="13"/>
      <c r="PS95" s="13"/>
      <c r="PT95" s="13"/>
      <c r="PU95" s="13"/>
      <c r="PV95" s="13"/>
      <c r="PW95" s="13"/>
      <c r="PX95" s="13"/>
      <c r="PY95" s="13"/>
      <c r="PZ95" s="13"/>
      <c r="QA95" s="13"/>
      <c r="QB95" s="13"/>
      <c r="QC95" s="13"/>
      <c r="QD95" s="13"/>
      <c r="QE95" s="13"/>
      <c r="QF95" s="13"/>
      <c r="QG95" s="13"/>
      <c r="QH95" s="13"/>
      <c r="QI95" s="13"/>
      <c r="QJ95" s="13"/>
      <c r="QK95" s="13"/>
      <c r="QL95" s="13"/>
      <c r="QM95" s="13"/>
      <c r="QN95" s="13"/>
      <c r="QO95" s="13"/>
      <c r="QP95" s="13"/>
      <c r="QQ95" s="13"/>
      <c r="QR95" s="13"/>
      <c r="QS95" s="13"/>
      <c r="QT95" s="13"/>
      <c r="QU95" s="13"/>
      <c r="QV95" s="13"/>
      <c r="QW95" s="13"/>
      <c r="QX95" s="13"/>
      <c r="QY95" s="13"/>
      <c r="QZ95" s="13"/>
      <c r="RA95" s="13"/>
      <c r="RB95" s="13"/>
      <c r="RC95" s="13"/>
      <c r="RD95" s="13"/>
      <c r="RE95" s="13"/>
      <c r="RF95" s="13"/>
      <c r="RG95" s="13"/>
      <c r="RH95" s="13"/>
      <c r="RI95" s="13"/>
      <c r="RJ95" s="13"/>
      <c r="RK95" s="13"/>
      <c r="RL95" s="13"/>
      <c r="RM95" s="13"/>
      <c r="RN95" s="13"/>
      <c r="RO95" s="13"/>
      <c r="RP95" s="13"/>
      <c r="RQ95" s="13"/>
      <c r="RR95" s="13"/>
      <c r="RS95" s="13"/>
      <c r="RT95" s="13"/>
      <c r="RU95" s="13"/>
      <c r="RV95" s="13"/>
      <c r="RW95" s="13"/>
      <c r="RX95" s="13"/>
      <c r="RY95" s="13"/>
      <c r="RZ95" s="13"/>
      <c r="SA95" s="13"/>
      <c r="SB95" s="13"/>
      <c r="SC95" s="13"/>
      <c r="SD95" s="13"/>
      <c r="SE95" s="13"/>
      <c r="SF95" s="13"/>
      <c r="SG95" s="13"/>
      <c r="SH95" s="13"/>
      <c r="SI95" s="13"/>
      <c r="SJ95" s="13"/>
      <c r="SK95" s="13"/>
      <c r="SL95" s="13"/>
      <c r="SM95" s="13"/>
      <c r="SN95" s="13"/>
      <c r="SO95" s="13"/>
      <c r="SP95" s="13"/>
      <c r="SQ95" s="13"/>
      <c r="SR95" s="13"/>
      <c r="SS95" s="13"/>
      <c r="ST95" s="13"/>
      <c r="SU95" s="13"/>
      <c r="SV95" s="13"/>
      <c r="SW95" s="13"/>
      <c r="SX95" s="13"/>
      <c r="SY95" s="13"/>
      <c r="SZ95" s="13"/>
      <c r="TA95" s="13"/>
      <c r="TB95" s="13"/>
      <c r="TC95" s="13"/>
      <c r="TD95" s="13"/>
      <c r="TE95" s="13"/>
      <c r="TF95" s="13"/>
      <c r="TG95" s="13"/>
      <c r="TH95" s="13"/>
      <c r="TI95" s="13"/>
      <c r="TJ95" s="13"/>
      <c r="TK95" s="13"/>
      <c r="TL95" s="13"/>
      <c r="TM95" s="13"/>
      <c r="TN95" s="13"/>
      <c r="TO95" s="13"/>
      <c r="TP95" s="13"/>
      <c r="TQ95" s="13"/>
      <c r="TR95" s="13"/>
      <c r="TS95" s="13"/>
      <c r="TT95" s="13"/>
      <c r="TU95" s="13"/>
      <c r="TV95" s="13"/>
      <c r="TW95" s="13"/>
      <c r="TX95" s="13"/>
      <c r="TY95" s="13"/>
      <c r="TZ95" s="13"/>
      <c r="UA95" s="13"/>
      <c r="UB95" s="13"/>
      <c r="UC95" s="13"/>
      <c r="UD95" s="13"/>
      <c r="UE95" s="13"/>
      <c r="UF95" s="13"/>
      <c r="UG95" s="13"/>
      <c r="UH95" s="13"/>
      <c r="UI95" s="13"/>
      <c r="UJ95" s="13"/>
      <c r="UK95" s="13"/>
      <c r="UL95" s="13"/>
      <c r="UM95" s="13"/>
      <c r="UN95" s="13"/>
      <c r="UO95" s="13"/>
      <c r="UP95" s="13"/>
      <c r="UQ95" s="13"/>
      <c r="UR95" s="13"/>
      <c r="US95" s="13"/>
      <c r="UT95" s="13"/>
      <c r="UU95" s="13"/>
      <c r="UV95" s="13"/>
      <c r="UW95" s="13"/>
      <c r="UX95" s="13"/>
      <c r="UY95" s="13"/>
      <c r="UZ95" s="13"/>
      <c r="VA95" s="13"/>
      <c r="VB95" s="13"/>
      <c r="VC95" s="13"/>
      <c r="VD95" s="13"/>
      <c r="VE95" s="13"/>
      <c r="VF95" s="13"/>
      <c r="VG95" s="13"/>
      <c r="VH95" s="13"/>
      <c r="VI95" s="13"/>
      <c r="VJ95" s="13"/>
      <c r="VK95" s="13"/>
      <c r="VL95" s="13"/>
      <c r="VM95" s="13"/>
      <c r="VN95" s="13"/>
      <c r="VO95" s="13"/>
      <c r="VP95" s="13"/>
      <c r="VQ95" s="13"/>
      <c r="VR95" s="13"/>
      <c r="VS95" s="13"/>
      <c r="VT95" s="13"/>
    </row>
    <row r="96" spans="1:592" s="25" customFormat="1" ht="31.5" x14ac:dyDescent="0.2">
      <c r="A96" s="10" t="s">
        <v>360</v>
      </c>
      <c r="B96" s="11">
        <v>71220054</v>
      </c>
      <c r="C96" s="11" t="s">
        <v>296</v>
      </c>
      <c r="D96" s="11">
        <v>5172647</v>
      </c>
      <c r="E96" s="225" t="s">
        <v>285</v>
      </c>
      <c r="F96" s="192" t="s">
        <v>278</v>
      </c>
      <c r="G96" s="201">
        <f>IFERROR(VLOOKUP(D96,List1!$A$5:$B$227,2,FALSE),"0")</f>
        <v>23657000</v>
      </c>
      <c r="H96" s="41" t="str">
        <f>IFERROR(VLOOKUP(D96,List1!$D$5:$E$41,2,FALSE),"0")</f>
        <v>0</v>
      </c>
      <c r="I96" s="41">
        <f>IFERROR(VLOOKUP(D96,List1!$G$5:$H$227,2,FALSE),"0")</f>
        <v>1557779</v>
      </c>
      <c r="J96" s="40">
        <f t="shared" si="10"/>
        <v>25214779</v>
      </c>
      <c r="K96" s="41" t="str">
        <f>IFERROR(VLOOKUP(D96,List1!$J$5:$K$227,2,FALSE),"0")</f>
        <v>0</v>
      </c>
      <c r="L96" s="41" t="str">
        <f>IFERROR(VLOOKUP(D96,List1!$M$5:$N$112,2,FALSE),"0")</f>
        <v>0</v>
      </c>
      <c r="M96" s="43">
        <v>0</v>
      </c>
      <c r="N96" s="80">
        <f>VLOOKUP($D$5:$D$251,List2!$A$2:$B$241,2,FALSE)</f>
        <v>0</v>
      </c>
      <c r="O96" s="80">
        <f>IFERROR(VLOOKUP($D$5:$D$260,List1!$Y$5:$Z$244,2,FALSE),0)</f>
        <v>10061036</v>
      </c>
      <c r="P96" s="202">
        <f>IFERROR(VLOOKUP($D$5:$D$260,List1!$AB$5:$AC$244,2,FALSE),0)</f>
        <v>0</v>
      </c>
      <c r="Q96" s="201">
        <f>IFERROR(VLOOKUP($D$5:$D$260,List1!$S$5:$T$231,2,FALSE),0)</f>
        <v>0</v>
      </c>
      <c r="R96" s="41">
        <v>0</v>
      </c>
      <c r="S96" s="41">
        <f>IFERROR(VLOOKUP($D$5:$D$260,List1!$AE$5:$AF$231,2,FALSE),0)</f>
        <v>0</v>
      </c>
      <c r="T96" s="41">
        <f t="shared" si="11"/>
        <v>0</v>
      </c>
      <c r="U96" s="41" t="str">
        <f>IFERROR(VLOOKUP(D96,List1!$P$5:$Q$110,2,FALSE),"0")</f>
        <v>0</v>
      </c>
      <c r="V96" s="41">
        <v>0</v>
      </c>
      <c r="W96" s="248">
        <v>0</v>
      </c>
      <c r="X96" s="211">
        <f t="shared" si="12"/>
        <v>0</v>
      </c>
      <c r="Y96" s="219"/>
      <c r="Z96" s="80">
        <f>IFERROR(VLOOKUP($D$5:$D$260,#REF!,3,FALSE),0)</f>
        <v>0</v>
      </c>
      <c r="AA96" s="80">
        <f>IFERROR(VLOOKUP($D$5:$D$260,#REF!,3,FALSE),0)</f>
        <v>0</v>
      </c>
      <c r="AB96" s="243">
        <v>0</v>
      </c>
      <c r="AC96" s="202">
        <f t="shared" si="13"/>
        <v>0</v>
      </c>
      <c r="AD96" s="259">
        <f t="shared" si="14"/>
        <v>0</v>
      </c>
      <c r="AE96" s="260">
        <f t="shared" si="15"/>
        <v>0</v>
      </c>
      <c r="AF96" s="260">
        <f t="shared" si="16"/>
        <v>0</v>
      </c>
      <c r="AG96" s="260">
        <f t="shared" si="17"/>
        <v>0</v>
      </c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  <c r="IU96" s="13"/>
      <c r="IV96" s="13"/>
      <c r="IW96" s="13"/>
      <c r="IX96" s="13"/>
      <c r="IY96" s="13"/>
      <c r="IZ96" s="13"/>
      <c r="JA96" s="13"/>
      <c r="JB96" s="13"/>
      <c r="JC96" s="13"/>
      <c r="JD96" s="13"/>
      <c r="JE96" s="13"/>
      <c r="JF96" s="13"/>
      <c r="JG96" s="13"/>
      <c r="JH96" s="13"/>
      <c r="JI96" s="13"/>
      <c r="JJ96" s="13"/>
      <c r="JK96" s="13"/>
      <c r="JL96" s="13"/>
      <c r="JM96" s="13"/>
      <c r="JN96" s="13"/>
      <c r="JO96" s="13"/>
      <c r="JP96" s="13"/>
      <c r="JQ96" s="13"/>
      <c r="JR96" s="13"/>
      <c r="JS96" s="13"/>
      <c r="JT96" s="13"/>
      <c r="JU96" s="13"/>
      <c r="JV96" s="13"/>
      <c r="JW96" s="13"/>
      <c r="JX96" s="13"/>
      <c r="JY96" s="13"/>
      <c r="JZ96" s="13"/>
      <c r="KA96" s="13"/>
      <c r="KB96" s="13"/>
      <c r="KC96" s="13"/>
      <c r="KD96" s="13"/>
      <c r="KE96" s="13"/>
      <c r="KF96" s="13"/>
      <c r="KG96" s="13"/>
      <c r="KH96" s="13"/>
      <c r="KI96" s="13"/>
      <c r="KJ96" s="13"/>
      <c r="KK96" s="13"/>
      <c r="KL96" s="13"/>
      <c r="KM96" s="13"/>
      <c r="KN96" s="13"/>
      <c r="KO96" s="13"/>
      <c r="KP96" s="13"/>
      <c r="KQ96" s="13"/>
      <c r="KR96" s="13"/>
      <c r="KS96" s="13"/>
      <c r="KT96" s="13"/>
      <c r="KU96" s="13"/>
      <c r="KV96" s="13"/>
      <c r="KW96" s="13"/>
      <c r="KX96" s="13"/>
      <c r="KY96" s="13"/>
      <c r="KZ96" s="13"/>
      <c r="LA96" s="13"/>
      <c r="LB96" s="13"/>
      <c r="LC96" s="13"/>
      <c r="LD96" s="13"/>
      <c r="LE96" s="13"/>
      <c r="LF96" s="13"/>
      <c r="LG96" s="13"/>
      <c r="LH96" s="13"/>
      <c r="LI96" s="13"/>
      <c r="LJ96" s="13"/>
      <c r="LK96" s="13"/>
      <c r="LL96" s="13"/>
      <c r="LM96" s="13"/>
      <c r="LN96" s="13"/>
      <c r="LO96" s="13"/>
      <c r="LP96" s="13"/>
      <c r="LQ96" s="13"/>
      <c r="LR96" s="13"/>
      <c r="LS96" s="13"/>
      <c r="LT96" s="13"/>
      <c r="LU96" s="13"/>
      <c r="LV96" s="13"/>
      <c r="LW96" s="13"/>
      <c r="LX96" s="13"/>
      <c r="LY96" s="13"/>
      <c r="LZ96" s="13"/>
      <c r="MA96" s="13"/>
      <c r="MB96" s="13"/>
      <c r="MC96" s="13"/>
      <c r="MD96" s="13"/>
      <c r="ME96" s="13"/>
      <c r="MF96" s="13"/>
      <c r="MG96" s="13"/>
      <c r="MH96" s="13"/>
      <c r="MI96" s="13"/>
      <c r="MJ96" s="13"/>
      <c r="MK96" s="13"/>
      <c r="ML96" s="13"/>
      <c r="MM96" s="13"/>
      <c r="MN96" s="13"/>
      <c r="MO96" s="13"/>
      <c r="MP96" s="13"/>
      <c r="MQ96" s="13"/>
      <c r="MR96" s="13"/>
      <c r="MS96" s="13"/>
      <c r="MT96" s="13"/>
      <c r="MU96" s="13"/>
      <c r="MV96" s="13"/>
      <c r="MW96" s="13"/>
      <c r="MX96" s="13"/>
      <c r="MY96" s="13"/>
      <c r="MZ96" s="13"/>
      <c r="NA96" s="13"/>
      <c r="NB96" s="13"/>
      <c r="NC96" s="13"/>
      <c r="ND96" s="13"/>
      <c r="NE96" s="13"/>
      <c r="NF96" s="13"/>
      <c r="NG96" s="13"/>
      <c r="NH96" s="13"/>
      <c r="NI96" s="13"/>
      <c r="NJ96" s="13"/>
      <c r="NK96" s="13"/>
      <c r="NL96" s="13"/>
      <c r="NM96" s="13"/>
      <c r="NN96" s="13"/>
      <c r="NO96" s="13"/>
      <c r="NP96" s="13"/>
      <c r="NQ96" s="13"/>
      <c r="NR96" s="13"/>
      <c r="NS96" s="13"/>
      <c r="NT96" s="13"/>
      <c r="NU96" s="13"/>
      <c r="NV96" s="13"/>
      <c r="NW96" s="13"/>
      <c r="NX96" s="13"/>
      <c r="NY96" s="13"/>
      <c r="NZ96" s="13"/>
      <c r="OA96" s="13"/>
      <c r="OB96" s="13"/>
      <c r="OC96" s="13"/>
      <c r="OD96" s="13"/>
      <c r="OE96" s="13"/>
      <c r="OF96" s="13"/>
      <c r="OG96" s="13"/>
      <c r="OH96" s="13"/>
      <c r="OI96" s="13"/>
      <c r="OJ96" s="13"/>
      <c r="OK96" s="13"/>
      <c r="OL96" s="13"/>
      <c r="OM96" s="13"/>
      <c r="ON96" s="13"/>
      <c r="OO96" s="13"/>
      <c r="OP96" s="13"/>
      <c r="OQ96" s="13"/>
      <c r="OR96" s="13"/>
      <c r="OS96" s="13"/>
      <c r="OT96" s="13"/>
      <c r="OU96" s="13"/>
      <c r="OV96" s="13"/>
      <c r="OW96" s="13"/>
      <c r="OX96" s="13"/>
      <c r="OY96" s="13"/>
      <c r="OZ96" s="13"/>
      <c r="PA96" s="13"/>
      <c r="PB96" s="13"/>
      <c r="PC96" s="13"/>
      <c r="PD96" s="13"/>
      <c r="PE96" s="13"/>
      <c r="PF96" s="13"/>
      <c r="PG96" s="13"/>
      <c r="PH96" s="13"/>
      <c r="PI96" s="13"/>
      <c r="PJ96" s="13"/>
      <c r="PK96" s="13"/>
      <c r="PL96" s="13"/>
      <c r="PM96" s="13"/>
      <c r="PN96" s="13"/>
      <c r="PO96" s="13"/>
      <c r="PP96" s="13"/>
      <c r="PQ96" s="13"/>
      <c r="PR96" s="13"/>
      <c r="PS96" s="13"/>
      <c r="PT96" s="13"/>
      <c r="PU96" s="13"/>
      <c r="PV96" s="13"/>
      <c r="PW96" s="13"/>
      <c r="PX96" s="13"/>
      <c r="PY96" s="13"/>
      <c r="PZ96" s="13"/>
      <c r="QA96" s="13"/>
      <c r="QB96" s="13"/>
      <c r="QC96" s="13"/>
      <c r="QD96" s="13"/>
      <c r="QE96" s="13"/>
      <c r="QF96" s="13"/>
      <c r="QG96" s="13"/>
      <c r="QH96" s="13"/>
      <c r="QI96" s="13"/>
      <c r="QJ96" s="13"/>
      <c r="QK96" s="13"/>
      <c r="QL96" s="13"/>
      <c r="QM96" s="13"/>
      <c r="QN96" s="13"/>
      <c r="QO96" s="13"/>
      <c r="QP96" s="13"/>
      <c r="QQ96" s="13"/>
      <c r="QR96" s="13"/>
      <c r="QS96" s="13"/>
      <c r="QT96" s="13"/>
      <c r="QU96" s="13"/>
      <c r="QV96" s="13"/>
      <c r="QW96" s="13"/>
      <c r="QX96" s="13"/>
      <c r="QY96" s="13"/>
      <c r="QZ96" s="13"/>
      <c r="RA96" s="13"/>
      <c r="RB96" s="13"/>
      <c r="RC96" s="13"/>
      <c r="RD96" s="13"/>
      <c r="RE96" s="13"/>
      <c r="RF96" s="13"/>
      <c r="RG96" s="13"/>
      <c r="RH96" s="13"/>
      <c r="RI96" s="13"/>
      <c r="RJ96" s="13"/>
      <c r="RK96" s="13"/>
      <c r="RL96" s="13"/>
      <c r="RM96" s="13"/>
      <c r="RN96" s="13"/>
      <c r="RO96" s="13"/>
      <c r="RP96" s="13"/>
      <c r="RQ96" s="13"/>
      <c r="RR96" s="13"/>
      <c r="RS96" s="13"/>
      <c r="RT96" s="13"/>
      <c r="RU96" s="13"/>
      <c r="RV96" s="13"/>
      <c r="RW96" s="13"/>
      <c r="RX96" s="13"/>
      <c r="RY96" s="13"/>
      <c r="RZ96" s="13"/>
      <c r="SA96" s="13"/>
      <c r="SB96" s="13"/>
      <c r="SC96" s="13"/>
      <c r="SD96" s="13"/>
      <c r="SE96" s="13"/>
      <c r="SF96" s="13"/>
      <c r="SG96" s="13"/>
      <c r="SH96" s="13"/>
      <c r="SI96" s="13"/>
      <c r="SJ96" s="13"/>
      <c r="SK96" s="13"/>
      <c r="SL96" s="13"/>
      <c r="SM96" s="13"/>
      <c r="SN96" s="13"/>
      <c r="SO96" s="13"/>
      <c r="SP96" s="13"/>
      <c r="SQ96" s="13"/>
      <c r="SR96" s="13"/>
      <c r="SS96" s="13"/>
      <c r="ST96" s="13"/>
      <c r="SU96" s="13"/>
      <c r="SV96" s="13"/>
      <c r="SW96" s="13"/>
      <c r="SX96" s="13"/>
      <c r="SY96" s="13"/>
      <c r="SZ96" s="13"/>
      <c r="TA96" s="13"/>
      <c r="TB96" s="13"/>
      <c r="TC96" s="13"/>
      <c r="TD96" s="13"/>
      <c r="TE96" s="13"/>
      <c r="TF96" s="13"/>
      <c r="TG96" s="13"/>
      <c r="TH96" s="13"/>
      <c r="TI96" s="13"/>
      <c r="TJ96" s="13"/>
      <c r="TK96" s="13"/>
      <c r="TL96" s="13"/>
      <c r="TM96" s="13"/>
      <c r="TN96" s="13"/>
      <c r="TO96" s="13"/>
      <c r="TP96" s="13"/>
      <c r="TQ96" s="13"/>
      <c r="TR96" s="13"/>
      <c r="TS96" s="13"/>
      <c r="TT96" s="13"/>
      <c r="TU96" s="13"/>
      <c r="TV96" s="13"/>
      <c r="TW96" s="13"/>
      <c r="TX96" s="13"/>
      <c r="TY96" s="13"/>
      <c r="TZ96" s="13"/>
      <c r="UA96" s="13"/>
      <c r="UB96" s="13"/>
      <c r="UC96" s="13"/>
      <c r="UD96" s="13"/>
      <c r="UE96" s="13"/>
      <c r="UF96" s="13"/>
      <c r="UG96" s="13"/>
      <c r="UH96" s="13"/>
      <c r="UI96" s="13"/>
      <c r="UJ96" s="13"/>
      <c r="UK96" s="13"/>
      <c r="UL96" s="13"/>
      <c r="UM96" s="13"/>
      <c r="UN96" s="13"/>
      <c r="UO96" s="13"/>
      <c r="UP96" s="13"/>
      <c r="UQ96" s="13"/>
      <c r="UR96" s="13"/>
      <c r="US96" s="13"/>
      <c r="UT96" s="13"/>
      <c r="UU96" s="13"/>
      <c r="UV96" s="13"/>
      <c r="UW96" s="13"/>
      <c r="UX96" s="13"/>
      <c r="UY96" s="13"/>
      <c r="UZ96" s="13"/>
      <c r="VA96" s="13"/>
      <c r="VB96" s="13"/>
      <c r="VC96" s="13"/>
      <c r="VD96" s="13"/>
      <c r="VE96" s="13"/>
      <c r="VF96" s="13"/>
      <c r="VG96" s="13"/>
      <c r="VH96" s="13"/>
      <c r="VI96" s="13"/>
      <c r="VJ96" s="13"/>
      <c r="VK96" s="13"/>
      <c r="VL96" s="13"/>
      <c r="VM96" s="13"/>
      <c r="VN96" s="13"/>
      <c r="VO96" s="13"/>
      <c r="VP96" s="13"/>
      <c r="VQ96" s="13"/>
      <c r="VR96" s="13"/>
      <c r="VS96" s="13"/>
      <c r="VT96" s="13"/>
    </row>
    <row r="97" spans="1:592" s="25" customFormat="1" ht="31.5" x14ac:dyDescent="0.2">
      <c r="A97" s="10" t="s">
        <v>360</v>
      </c>
      <c r="B97" s="11">
        <v>71220054</v>
      </c>
      <c r="C97" s="11" t="s">
        <v>296</v>
      </c>
      <c r="D97" s="11">
        <v>7326055</v>
      </c>
      <c r="E97" s="225" t="s">
        <v>290</v>
      </c>
      <c r="F97" s="192" t="s">
        <v>278</v>
      </c>
      <c r="G97" s="201">
        <f>IFERROR(VLOOKUP(D97,List1!$A$5:$B$227,2,FALSE),"0")</f>
        <v>6325000</v>
      </c>
      <c r="H97" s="41">
        <f>IFERROR(VLOOKUP(D97,List1!$D$5:$E$41,2,FALSE),"0")</f>
        <v>855352</v>
      </c>
      <c r="I97" s="41">
        <f>IFERROR(VLOOKUP(D97,List1!$G$5:$H$227,2,FALSE),"0")</f>
        <v>496989</v>
      </c>
      <c r="J97" s="40">
        <f t="shared" si="10"/>
        <v>7677341</v>
      </c>
      <c r="K97" s="41" t="str">
        <f>IFERROR(VLOOKUP(D97,List1!$J$5:$K$227,2,FALSE),"0")</f>
        <v>0</v>
      </c>
      <c r="L97" s="41" t="str">
        <f>IFERROR(VLOOKUP(D97,List1!$M$5:$N$112,2,FALSE),"0")</f>
        <v>0</v>
      </c>
      <c r="M97" s="43">
        <v>0</v>
      </c>
      <c r="N97" s="80">
        <f>VLOOKUP($D$5:$D$251,List2!$A$2:$B$241,2,FALSE)</f>
        <v>0</v>
      </c>
      <c r="O97" s="80">
        <f>IFERROR(VLOOKUP($D$5:$D$260,List1!$Y$5:$Z$244,2,FALSE),0)</f>
        <v>2060694</v>
      </c>
      <c r="P97" s="202">
        <f>IFERROR(VLOOKUP($D$5:$D$260,List1!$AB$5:$AC$244,2,FALSE),0)</f>
        <v>0</v>
      </c>
      <c r="Q97" s="201">
        <f>IFERROR(VLOOKUP($D$5:$D$260,List1!$S$5:$T$231,2,FALSE),0)</f>
        <v>0</v>
      </c>
      <c r="R97" s="41">
        <v>0</v>
      </c>
      <c r="S97" s="41">
        <f>IFERROR(VLOOKUP($D$5:$D$260,List1!$AE$5:$AF$231,2,FALSE),0)</f>
        <v>0</v>
      </c>
      <c r="T97" s="41">
        <f t="shared" si="11"/>
        <v>0</v>
      </c>
      <c r="U97" s="41" t="str">
        <f>IFERROR(VLOOKUP(D97,List1!$P$5:$Q$110,2,FALSE),"0")</f>
        <v>0</v>
      </c>
      <c r="V97" s="41">
        <v>0</v>
      </c>
      <c r="W97" s="248">
        <v>0</v>
      </c>
      <c r="X97" s="211">
        <f t="shared" si="12"/>
        <v>0</v>
      </c>
      <c r="Y97" s="219"/>
      <c r="Z97" s="80">
        <f>IFERROR(VLOOKUP($D$5:$D$260,#REF!,3,FALSE),0)</f>
        <v>0</v>
      </c>
      <c r="AA97" s="80">
        <f>IFERROR(VLOOKUP($D$5:$D$260,#REF!,3,FALSE),0)</f>
        <v>0</v>
      </c>
      <c r="AB97" s="243">
        <v>0</v>
      </c>
      <c r="AC97" s="202">
        <f t="shared" si="13"/>
        <v>0</v>
      </c>
      <c r="AD97" s="259">
        <f t="shared" si="14"/>
        <v>0</v>
      </c>
      <c r="AE97" s="260">
        <f t="shared" si="15"/>
        <v>0</v>
      </c>
      <c r="AF97" s="260">
        <f t="shared" si="16"/>
        <v>0</v>
      </c>
      <c r="AG97" s="260">
        <f t="shared" si="17"/>
        <v>0</v>
      </c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  <c r="IT97" s="13"/>
      <c r="IU97" s="13"/>
      <c r="IV97" s="13"/>
      <c r="IW97" s="13"/>
      <c r="IX97" s="13"/>
      <c r="IY97" s="13"/>
      <c r="IZ97" s="13"/>
      <c r="JA97" s="13"/>
      <c r="JB97" s="13"/>
      <c r="JC97" s="13"/>
      <c r="JD97" s="13"/>
      <c r="JE97" s="13"/>
      <c r="JF97" s="13"/>
      <c r="JG97" s="13"/>
      <c r="JH97" s="13"/>
      <c r="JI97" s="13"/>
      <c r="JJ97" s="13"/>
      <c r="JK97" s="13"/>
      <c r="JL97" s="13"/>
      <c r="JM97" s="13"/>
      <c r="JN97" s="13"/>
      <c r="JO97" s="13"/>
      <c r="JP97" s="13"/>
      <c r="JQ97" s="13"/>
      <c r="JR97" s="13"/>
      <c r="JS97" s="13"/>
      <c r="JT97" s="13"/>
      <c r="JU97" s="13"/>
      <c r="JV97" s="13"/>
      <c r="JW97" s="13"/>
      <c r="JX97" s="13"/>
      <c r="JY97" s="13"/>
      <c r="JZ97" s="13"/>
      <c r="KA97" s="13"/>
      <c r="KB97" s="13"/>
      <c r="KC97" s="13"/>
      <c r="KD97" s="13"/>
      <c r="KE97" s="13"/>
      <c r="KF97" s="13"/>
      <c r="KG97" s="13"/>
      <c r="KH97" s="13"/>
      <c r="KI97" s="13"/>
      <c r="KJ97" s="13"/>
      <c r="KK97" s="13"/>
      <c r="KL97" s="13"/>
      <c r="KM97" s="13"/>
      <c r="KN97" s="13"/>
      <c r="KO97" s="13"/>
      <c r="KP97" s="13"/>
      <c r="KQ97" s="13"/>
      <c r="KR97" s="13"/>
      <c r="KS97" s="13"/>
      <c r="KT97" s="13"/>
      <c r="KU97" s="13"/>
      <c r="KV97" s="13"/>
      <c r="KW97" s="13"/>
      <c r="KX97" s="13"/>
      <c r="KY97" s="13"/>
      <c r="KZ97" s="13"/>
      <c r="LA97" s="13"/>
      <c r="LB97" s="13"/>
      <c r="LC97" s="13"/>
      <c r="LD97" s="13"/>
      <c r="LE97" s="13"/>
      <c r="LF97" s="13"/>
      <c r="LG97" s="13"/>
      <c r="LH97" s="13"/>
      <c r="LI97" s="13"/>
      <c r="LJ97" s="13"/>
      <c r="LK97" s="13"/>
      <c r="LL97" s="13"/>
      <c r="LM97" s="13"/>
      <c r="LN97" s="13"/>
      <c r="LO97" s="13"/>
      <c r="LP97" s="13"/>
      <c r="LQ97" s="13"/>
      <c r="LR97" s="13"/>
      <c r="LS97" s="13"/>
      <c r="LT97" s="13"/>
      <c r="LU97" s="13"/>
      <c r="LV97" s="13"/>
      <c r="LW97" s="13"/>
      <c r="LX97" s="13"/>
      <c r="LY97" s="13"/>
      <c r="LZ97" s="13"/>
      <c r="MA97" s="13"/>
      <c r="MB97" s="13"/>
      <c r="MC97" s="13"/>
      <c r="MD97" s="13"/>
      <c r="ME97" s="13"/>
      <c r="MF97" s="13"/>
      <c r="MG97" s="13"/>
      <c r="MH97" s="13"/>
      <c r="MI97" s="13"/>
      <c r="MJ97" s="13"/>
      <c r="MK97" s="13"/>
      <c r="ML97" s="13"/>
      <c r="MM97" s="13"/>
      <c r="MN97" s="13"/>
      <c r="MO97" s="13"/>
      <c r="MP97" s="13"/>
      <c r="MQ97" s="13"/>
      <c r="MR97" s="13"/>
      <c r="MS97" s="13"/>
      <c r="MT97" s="13"/>
      <c r="MU97" s="13"/>
      <c r="MV97" s="13"/>
      <c r="MW97" s="13"/>
      <c r="MX97" s="13"/>
      <c r="MY97" s="13"/>
      <c r="MZ97" s="13"/>
      <c r="NA97" s="13"/>
      <c r="NB97" s="13"/>
      <c r="NC97" s="13"/>
      <c r="ND97" s="13"/>
      <c r="NE97" s="13"/>
      <c r="NF97" s="13"/>
      <c r="NG97" s="13"/>
      <c r="NH97" s="13"/>
      <c r="NI97" s="13"/>
      <c r="NJ97" s="13"/>
      <c r="NK97" s="13"/>
      <c r="NL97" s="13"/>
      <c r="NM97" s="13"/>
      <c r="NN97" s="13"/>
      <c r="NO97" s="13"/>
      <c r="NP97" s="13"/>
      <c r="NQ97" s="13"/>
      <c r="NR97" s="13"/>
      <c r="NS97" s="13"/>
      <c r="NT97" s="13"/>
      <c r="NU97" s="13"/>
      <c r="NV97" s="13"/>
      <c r="NW97" s="13"/>
      <c r="NX97" s="13"/>
      <c r="NY97" s="13"/>
      <c r="NZ97" s="13"/>
      <c r="OA97" s="13"/>
      <c r="OB97" s="13"/>
      <c r="OC97" s="13"/>
      <c r="OD97" s="13"/>
      <c r="OE97" s="13"/>
      <c r="OF97" s="13"/>
      <c r="OG97" s="13"/>
      <c r="OH97" s="13"/>
      <c r="OI97" s="13"/>
      <c r="OJ97" s="13"/>
      <c r="OK97" s="13"/>
      <c r="OL97" s="13"/>
      <c r="OM97" s="13"/>
      <c r="ON97" s="13"/>
      <c r="OO97" s="13"/>
      <c r="OP97" s="13"/>
      <c r="OQ97" s="13"/>
      <c r="OR97" s="13"/>
      <c r="OS97" s="13"/>
      <c r="OT97" s="13"/>
      <c r="OU97" s="13"/>
      <c r="OV97" s="13"/>
      <c r="OW97" s="13"/>
      <c r="OX97" s="13"/>
      <c r="OY97" s="13"/>
      <c r="OZ97" s="13"/>
      <c r="PA97" s="13"/>
      <c r="PB97" s="13"/>
      <c r="PC97" s="13"/>
      <c r="PD97" s="13"/>
      <c r="PE97" s="13"/>
      <c r="PF97" s="13"/>
      <c r="PG97" s="13"/>
      <c r="PH97" s="13"/>
      <c r="PI97" s="13"/>
      <c r="PJ97" s="13"/>
      <c r="PK97" s="13"/>
      <c r="PL97" s="13"/>
      <c r="PM97" s="13"/>
      <c r="PN97" s="13"/>
      <c r="PO97" s="13"/>
      <c r="PP97" s="13"/>
      <c r="PQ97" s="13"/>
      <c r="PR97" s="13"/>
      <c r="PS97" s="13"/>
      <c r="PT97" s="13"/>
      <c r="PU97" s="13"/>
      <c r="PV97" s="13"/>
      <c r="PW97" s="13"/>
      <c r="PX97" s="13"/>
      <c r="PY97" s="13"/>
      <c r="PZ97" s="13"/>
      <c r="QA97" s="13"/>
      <c r="QB97" s="13"/>
      <c r="QC97" s="13"/>
      <c r="QD97" s="13"/>
      <c r="QE97" s="13"/>
      <c r="QF97" s="13"/>
      <c r="QG97" s="13"/>
      <c r="QH97" s="13"/>
      <c r="QI97" s="13"/>
      <c r="QJ97" s="13"/>
      <c r="QK97" s="13"/>
      <c r="QL97" s="13"/>
      <c r="QM97" s="13"/>
      <c r="QN97" s="13"/>
      <c r="QO97" s="13"/>
      <c r="QP97" s="13"/>
      <c r="QQ97" s="13"/>
      <c r="QR97" s="13"/>
      <c r="QS97" s="13"/>
      <c r="QT97" s="13"/>
      <c r="QU97" s="13"/>
      <c r="QV97" s="13"/>
      <c r="QW97" s="13"/>
      <c r="QX97" s="13"/>
      <c r="QY97" s="13"/>
      <c r="QZ97" s="13"/>
      <c r="RA97" s="13"/>
      <c r="RB97" s="13"/>
      <c r="RC97" s="13"/>
      <c r="RD97" s="13"/>
      <c r="RE97" s="13"/>
      <c r="RF97" s="13"/>
      <c r="RG97" s="13"/>
      <c r="RH97" s="13"/>
      <c r="RI97" s="13"/>
      <c r="RJ97" s="13"/>
      <c r="RK97" s="13"/>
      <c r="RL97" s="13"/>
      <c r="RM97" s="13"/>
      <c r="RN97" s="13"/>
      <c r="RO97" s="13"/>
      <c r="RP97" s="13"/>
      <c r="RQ97" s="13"/>
      <c r="RR97" s="13"/>
      <c r="RS97" s="13"/>
      <c r="RT97" s="13"/>
      <c r="RU97" s="13"/>
      <c r="RV97" s="13"/>
      <c r="RW97" s="13"/>
      <c r="RX97" s="13"/>
      <c r="RY97" s="13"/>
      <c r="RZ97" s="13"/>
      <c r="SA97" s="13"/>
      <c r="SB97" s="13"/>
      <c r="SC97" s="13"/>
      <c r="SD97" s="13"/>
      <c r="SE97" s="13"/>
      <c r="SF97" s="13"/>
      <c r="SG97" s="13"/>
      <c r="SH97" s="13"/>
      <c r="SI97" s="13"/>
      <c r="SJ97" s="13"/>
      <c r="SK97" s="13"/>
      <c r="SL97" s="13"/>
      <c r="SM97" s="13"/>
      <c r="SN97" s="13"/>
      <c r="SO97" s="13"/>
      <c r="SP97" s="13"/>
      <c r="SQ97" s="13"/>
      <c r="SR97" s="13"/>
      <c r="SS97" s="13"/>
      <c r="ST97" s="13"/>
      <c r="SU97" s="13"/>
      <c r="SV97" s="13"/>
      <c r="SW97" s="13"/>
      <c r="SX97" s="13"/>
      <c r="SY97" s="13"/>
      <c r="SZ97" s="13"/>
      <c r="TA97" s="13"/>
      <c r="TB97" s="13"/>
      <c r="TC97" s="13"/>
      <c r="TD97" s="13"/>
      <c r="TE97" s="13"/>
      <c r="TF97" s="13"/>
      <c r="TG97" s="13"/>
      <c r="TH97" s="13"/>
      <c r="TI97" s="13"/>
      <c r="TJ97" s="13"/>
      <c r="TK97" s="13"/>
      <c r="TL97" s="13"/>
      <c r="TM97" s="13"/>
      <c r="TN97" s="13"/>
      <c r="TO97" s="13"/>
      <c r="TP97" s="13"/>
      <c r="TQ97" s="13"/>
      <c r="TR97" s="13"/>
      <c r="TS97" s="13"/>
      <c r="TT97" s="13"/>
      <c r="TU97" s="13"/>
      <c r="TV97" s="13"/>
      <c r="TW97" s="13"/>
      <c r="TX97" s="13"/>
      <c r="TY97" s="13"/>
      <c r="TZ97" s="13"/>
      <c r="UA97" s="13"/>
      <c r="UB97" s="13"/>
      <c r="UC97" s="13"/>
      <c r="UD97" s="13"/>
      <c r="UE97" s="13"/>
      <c r="UF97" s="13"/>
      <c r="UG97" s="13"/>
      <c r="UH97" s="13"/>
      <c r="UI97" s="13"/>
      <c r="UJ97" s="13"/>
      <c r="UK97" s="13"/>
      <c r="UL97" s="13"/>
      <c r="UM97" s="13"/>
      <c r="UN97" s="13"/>
      <c r="UO97" s="13"/>
      <c r="UP97" s="13"/>
      <c r="UQ97" s="13"/>
      <c r="UR97" s="13"/>
      <c r="US97" s="13"/>
      <c r="UT97" s="13"/>
      <c r="UU97" s="13"/>
      <c r="UV97" s="13"/>
      <c r="UW97" s="13"/>
      <c r="UX97" s="13"/>
      <c r="UY97" s="13"/>
      <c r="UZ97" s="13"/>
      <c r="VA97" s="13"/>
      <c r="VB97" s="13"/>
      <c r="VC97" s="13"/>
      <c r="VD97" s="13"/>
      <c r="VE97" s="13"/>
      <c r="VF97" s="13"/>
      <c r="VG97" s="13"/>
      <c r="VH97" s="13"/>
      <c r="VI97" s="13"/>
      <c r="VJ97" s="13"/>
      <c r="VK97" s="13"/>
      <c r="VL97" s="13"/>
      <c r="VM97" s="13"/>
      <c r="VN97" s="13"/>
      <c r="VO97" s="13"/>
      <c r="VP97" s="13"/>
      <c r="VQ97" s="13"/>
      <c r="VR97" s="13"/>
      <c r="VS97" s="13"/>
      <c r="VT97" s="13"/>
    </row>
    <row r="98" spans="1:592" s="26" customFormat="1" ht="21" x14ac:dyDescent="0.2">
      <c r="A98" s="10" t="s">
        <v>361</v>
      </c>
      <c r="B98" s="11">
        <v>26586100</v>
      </c>
      <c r="C98" s="11" t="s">
        <v>362</v>
      </c>
      <c r="D98" s="11">
        <v>9397048</v>
      </c>
      <c r="E98" s="12" t="s">
        <v>268</v>
      </c>
      <c r="F98" s="192" t="s">
        <v>300</v>
      </c>
      <c r="G98" s="201" t="str">
        <f>IFERROR(VLOOKUP(D98,List1!$A$5:$B$227,2,FALSE),"0")</f>
        <v>0</v>
      </c>
      <c r="H98" s="41" t="str">
        <f>IFERROR(VLOOKUP(D98,List1!$D$5:$E$41,2,FALSE),"0")</f>
        <v>0</v>
      </c>
      <c r="I98" s="41" t="str">
        <f>IFERROR(VLOOKUP(D98,List1!$G$5:$H$227,2,FALSE),"0")</f>
        <v>0</v>
      </c>
      <c r="J98" s="40">
        <f t="shared" si="10"/>
        <v>0</v>
      </c>
      <c r="K98" s="41" t="str">
        <f>IFERROR(VLOOKUP(D98,List1!$J$5:$K$227,2,FALSE),"0")</f>
        <v>0</v>
      </c>
      <c r="L98" s="41" t="str">
        <f>IFERROR(VLOOKUP(D98,List1!$M$5:$N$112,2,FALSE),"0")</f>
        <v>0</v>
      </c>
      <c r="M98" s="43">
        <v>0</v>
      </c>
      <c r="N98" s="80">
        <f>VLOOKUP($D$5:$D$251,List2!$A$2:$B$241,2,FALSE)</f>
        <v>0</v>
      </c>
      <c r="O98" s="80">
        <f>IFERROR(VLOOKUP($D$5:$D$260,List1!$Y$5:$Z$244,2,FALSE),0)</f>
        <v>0</v>
      </c>
      <c r="P98" s="202">
        <f>IFERROR(VLOOKUP($D$5:$D$260,List1!$AB$5:$AC$244,2,FALSE),0)</f>
        <v>0</v>
      </c>
      <c r="Q98" s="201">
        <f>IFERROR(VLOOKUP($D$5:$D$260,List1!$S$5:$T$231,2,FALSE),0)</f>
        <v>0</v>
      </c>
      <c r="R98" s="41">
        <v>0</v>
      </c>
      <c r="S98" s="41">
        <f>IFERROR(VLOOKUP($D$5:$D$260,List1!$AE$5:$AF$231,2,FALSE),0)</f>
        <v>0</v>
      </c>
      <c r="T98" s="41">
        <f t="shared" si="11"/>
        <v>0</v>
      </c>
      <c r="U98" s="41" t="str">
        <f>IFERROR(VLOOKUP(D98,List1!$P$5:$Q$110,2,FALSE),"0")</f>
        <v>0</v>
      </c>
      <c r="V98" s="41">
        <v>0</v>
      </c>
      <c r="W98" s="248">
        <v>0</v>
      </c>
      <c r="X98" s="211">
        <f t="shared" si="12"/>
        <v>0</v>
      </c>
      <c r="Y98" s="219"/>
      <c r="Z98" s="80">
        <f>IFERROR(VLOOKUP($D$5:$D$260,#REF!,3,FALSE),0)</f>
        <v>0</v>
      </c>
      <c r="AA98" s="80">
        <f>IFERROR(VLOOKUP($D$5:$D$260,#REF!,3,FALSE),0)</f>
        <v>0</v>
      </c>
      <c r="AB98" s="243">
        <v>0</v>
      </c>
      <c r="AC98" s="202">
        <f t="shared" si="13"/>
        <v>0</v>
      </c>
      <c r="AD98" s="259">
        <f t="shared" si="14"/>
        <v>0</v>
      </c>
      <c r="AE98" s="260">
        <f t="shared" si="15"/>
        <v>0</v>
      </c>
      <c r="AF98" s="260">
        <f t="shared" si="16"/>
        <v>0</v>
      </c>
      <c r="AG98" s="260">
        <f t="shared" si="17"/>
        <v>0</v>
      </c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  <c r="IT98" s="13"/>
      <c r="IU98" s="13"/>
      <c r="IV98" s="13"/>
      <c r="IW98" s="13"/>
      <c r="IX98" s="13"/>
      <c r="IY98" s="13"/>
      <c r="IZ98" s="13"/>
      <c r="JA98" s="13"/>
      <c r="JB98" s="13"/>
      <c r="JC98" s="13"/>
      <c r="JD98" s="13"/>
      <c r="JE98" s="13"/>
      <c r="JF98" s="13"/>
      <c r="JG98" s="13"/>
      <c r="JH98" s="13"/>
      <c r="JI98" s="13"/>
      <c r="JJ98" s="13"/>
      <c r="JK98" s="13"/>
      <c r="JL98" s="13"/>
      <c r="JM98" s="13"/>
      <c r="JN98" s="13"/>
      <c r="JO98" s="13"/>
      <c r="JP98" s="13"/>
      <c r="JQ98" s="13"/>
      <c r="JR98" s="13"/>
      <c r="JS98" s="13"/>
      <c r="JT98" s="13"/>
      <c r="JU98" s="13"/>
      <c r="JV98" s="13"/>
      <c r="JW98" s="13"/>
      <c r="JX98" s="13"/>
      <c r="JY98" s="13"/>
      <c r="JZ98" s="13"/>
      <c r="KA98" s="13"/>
      <c r="KB98" s="13"/>
      <c r="KC98" s="13"/>
      <c r="KD98" s="13"/>
      <c r="KE98" s="13"/>
      <c r="KF98" s="13"/>
      <c r="KG98" s="13"/>
      <c r="KH98" s="13"/>
      <c r="KI98" s="13"/>
      <c r="KJ98" s="13"/>
      <c r="KK98" s="13"/>
      <c r="KL98" s="13"/>
      <c r="KM98" s="13"/>
      <c r="KN98" s="13"/>
      <c r="KO98" s="13"/>
      <c r="KP98" s="13"/>
      <c r="KQ98" s="13"/>
      <c r="KR98" s="13"/>
      <c r="KS98" s="13"/>
      <c r="KT98" s="13"/>
      <c r="KU98" s="13"/>
      <c r="KV98" s="13"/>
      <c r="KW98" s="13"/>
      <c r="KX98" s="13"/>
      <c r="KY98" s="13"/>
      <c r="KZ98" s="13"/>
      <c r="LA98" s="13"/>
      <c r="LB98" s="13"/>
      <c r="LC98" s="13"/>
      <c r="LD98" s="13"/>
      <c r="LE98" s="13"/>
      <c r="LF98" s="13"/>
      <c r="LG98" s="13"/>
      <c r="LH98" s="13"/>
      <c r="LI98" s="13"/>
      <c r="LJ98" s="13"/>
      <c r="LK98" s="13"/>
      <c r="LL98" s="13"/>
      <c r="LM98" s="13"/>
      <c r="LN98" s="13"/>
      <c r="LO98" s="13"/>
      <c r="LP98" s="13"/>
      <c r="LQ98" s="13"/>
      <c r="LR98" s="13"/>
      <c r="LS98" s="13"/>
      <c r="LT98" s="13"/>
      <c r="LU98" s="13"/>
      <c r="LV98" s="13"/>
      <c r="LW98" s="13"/>
      <c r="LX98" s="13"/>
      <c r="LY98" s="13"/>
      <c r="LZ98" s="13"/>
      <c r="MA98" s="13"/>
      <c r="MB98" s="13"/>
      <c r="MC98" s="13"/>
      <c r="MD98" s="13"/>
      <c r="ME98" s="13"/>
      <c r="MF98" s="13"/>
      <c r="MG98" s="13"/>
      <c r="MH98" s="13"/>
      <c r="MI98" s="13"/>
      <c r="MJ98" s="13"/>
      <c r="MK98" s="13"/>
      <c r="ML98" s="13"/>
      <c r="MM98" s="13"/>
      <c r="MN98" s="13"/>
      <c r="MO98" s="13"/>
      <c r="MP98" s="13"/>
      <c r="MQ98" s="13"/>
      <c r="MR98" s="13"/>
      <c r="MS98" s="13"/>
      <c r="MT98" s="13"/>
      <c r="MU98" s="13"/>
      <c r="MV98" s="13"/>
      <c r="MW98" s="13"/>
      <c r="MX98" s="13"/>
      <c r="MY98" s="13"/>
      <c r="MZ98" s="13"/>
      <c r="NA98" s="13"/>
      <c r="NB98" s="13"/>
      <c r="NC98" s="13"/>
      <c r="ND98" s="13"/>
      <c r="NE98" s="13"/>
      <c r="NF98" s="13"/>
      <c r="NG98" s="13"/>
      <c r="NH98" s="13"/>
      <c r="NI98" s="13"/>
      <c r="NJ98" s="13"/>
      <c r="NK98" s="13"/>
      <c r="NL98" s="13"/>
      <c r="NM98" s="13"/>
      <c r="NN98" s="13"/>
      <c r="NO98" s="13"/>
      <c r="NP98" s="13"/>
      <c r="NQ98" s="13"/>
      <c r="NR98" s="13"/>
      <c r="NS98" s="13"/>
      <c r="NT98" s="13"/>
      <c r="NU98" s="13"/>
      <c r="NV98" s="13"/>
      <c r="NW98" s="13"/>
      <c r="NX98" s="13"/>
      <c r="NY98" s="13"/>
      <c r="NZ98" s="13"/>
      <c r="OA98" s="13"/>
      <c r="OB98" s="13"/>
      <c r="OC98" s="13"/>
      <c r="OD98" s="13"/>
      <c r="OE98" s="13"/>
      <c r="OF98" s="13"/>
      <c r="OG98" s="13"/>
      <c r="OH98" s="13"/>
      <c r="OI98" s="13"/>
      <c r="OJ98" s="13"/>
      <c r="OK98" s="13"/>
      <c r="OL98" s="13"/>
      <c r="OM98" s="13"/>
      <c r="ON98" s="13"/>
      <c r="OO98" s="13"/>
      <c r="OP98" s="13"/>
      <c r="OQ98" s="13"/>
      <c r="OR98" s="13"/>
      <c r="OS98" s="13"/>
      <c r="OT98" s="13"/>
      <c r="OU98" s="13"/>
      <c r="OV98" s="13"/>
      <c r="OW98" s="13"/>
      <c r="OX98" s="13"/>
      <c r="OY98" s="13"/>
      <c r="OZ98" s="13"/>
      <c r="PA98" s="13"/>
      <c r="PB98" s="13"/>
      <c r="PC98" s="13"/>
      <c r="PD98" s="13"/>
      <c r="PE98" s="13"/>
      <c r="PF98" s="13"/>
      <c r="PG98" s="13"/>
      <c r="PH98" s="13"/>
      <c r="PI98" s="13"/>
      <c r="PJ98" s="13"/>
      <c r="PK98" s="13"/>
      <c r="PL98" s="13"/>
      <c r="PM98" s="13"/>
      <c r="PN98" s="13"/>
      <c r="PO98" s="13"/>
      <c r="PP98" s="13"/>
      <c r="PQ98" s="13"/>
      <c r="PR98" s="13"/>
      <c r="PS98" s="13"/>
      <c r="PT98" s="13"/>
      <c r="PU98" s="13"/>
      <c r="PV98" s="13"/>
      <c r="PW98" s="13"/>
      <c r="PX98" s="13"/>
      <c r="PY98" s="13"/>
      <c r="PZ98" s="13"/>
      <c r="QA98" s="13"/>
      <c r="QB98" s="13"/>
      <c r="QC98" s="13"/>
      <c r="QD98" s="13"/>
      <c r="QE98" s="13"/>
      <c r="QF98" s="13"/>
      <c r="QG98" s="13"/>
      <c r="QH98" s="13"/>
      <c r="QI98" s="13"/>
      <c r="QJ98" s="13"/>
      <c r="QK98" s="13"/>
      <c r="QL98" s="13"/>
      <c r="QM98" s="13"/>
      <c r="QN98" s="13"/>
      <c r="QO98" s="13"/>
      <c r="QP98" s="13"/>
      <c r="QQ98" s="13"/>
      <c r="QR98" s="13"/>
      <c r="QS98" s="13"/>
      <c r="QT98" s="13"/>
      <c r="QU98" s="13"/>
      <c r="QV98" s="13"/>
      <c r="QW98" s="13"/>
      <c r="QX98" s="13"/>
      <c r="QY98" s="13"/>
      <c r="QZ98" s="13"/>
      <c r="RA98" s="13"/>
      <c r="RB98" s="13"/>
      <c r="RC98" s="13"/>
      <c r="RD98" s="13"/>
      <c r="RE98" s="13"/>
      <c r="RF98" s="13"/>
      <c r="RG98" s="13"/>
      <c r="RH98" s="13"/>
      <c r="RI98" s="13"/>
      <c r="RJ98" s="13"/>
      <c r="RK98" s="13"/>
      <c r="RL98" s="13"/>
      <c r="RM98" s="13"/>
      <c r="RN98" s="13"/>
      <c r="RO98" s="13"/>
      <c r="RP98" s="13"/>
      <c r="RQ98" s="13"/>
      <c r="RR98" s="13"/>
      <c r="RS98" s="13"/>
      <c r="RT98" s="13"/>
      <c r="RU98" s="13"/>
      <c r="RV98" s="13"/>
      <c r="RW98" s="13"/>
      <c r="RX98" s="13"/>
      <c r="RY98" s="13"/>
      <c r="RZ98" s="13"/>
      <c r="SA98" s="13"/>
      <c r="SB98" s="13"/>
      <c r="SC98" s="13"/>
      <c r="SD98" s="13"/>
      <c r="SE98" s="13"/>
      <c r="SF98" s="13"/>
      <c r="SG98" s="13"/>
      <c r="SH98" s="13"/>
      <c r="SI98" s="13"/>
      <c r="SJ98" s="13"/>
      <c r="SK98" s="13"/>
      <c r="SL98" s="13"/>
      <c r="SM98" s="13"/>
      <c r="SN98" s="13"/>
      <c r="SO98" s="13"/>
      <c r="SP98" s="13"/>
      <c r="SQ98" s="13"/>
      <c r="SR98" s="13"/>
      <c r="SS98" s="13"/>
      <c r="ST98" s="13"/>
      <c r="SU98" s="13"/>
      <c r="SV98" s="13"/>
      <c r="SW98" s="13"/>
      <c r="SX98" s="13"/>
      <c r="SY98" s="13"/>
      <c r="SZ98" s="13"/>
      <c r="TA98" s="13"/>
      <c r="TB98" s="13"/>
      <c r="TC98" s="13"/>
      <c r="TD98" s="13"/>
      <c r="TE98" s="13"/>
      <c r="TF98" s="13"/>
      <c r="TG98" s="13"/>
      <c r="TH98" s="13"/>
      <c r="TI98" s="13"/>
      <c r="TJ98" s="13"/>
      <c r="TK98" s="13"/>
      <c r="TL98" s="13"/>
      <c r="TM98" s="13"/>
      <c r="TN98" s="13"/>
      <c r="TO98" s="13"/>
      <c r="TP98" s="13"/>
      <c r="TQ98" s="13"/>
      <c r="TR98" s="13"/>
      <c r="TS98" s="13"/>
      <c r="TT98" s="13"/>
      <c r="TU98" s="13"/>
      <c r="TV98" s="13"/>
      <c r="TW98" s="13"/>
      <c r="TX98" s="13"/>
      <c r="TY98" s="13"/>
      <c r="TZ98" s="13"/>
      <c r="UA98" s="13"/>
      <c r="UB98" s="13"/>
      <c r="UC98" s="13"/>
      <c r="UD98" s="13"/>
      <c r="UE98" s="13"/>
      <c r="UF98" s="13"/>
      <c r="UG98" s="13"/>
      <c r="UH98" s="13"/>
      <c r="UI98" s="13"/>
      <c r="UJ98" s="13"/>
      <c r="UK98" s="13"/>
      <c r="UL98" s="13"/>
      <c r="UM98" s="13"/>
      <c r="UN98" s="13"/>
      <c r="UO98" s="13"/>
      <c r="UP98" s="13"/>
      <c r="UQ98" s="13"/>
      <c r="UR98" s="13"/>
      <c r="US98" s="13"/>
      <c r="UT98" s="13"/>
      <c r="UU98" s="13"/>
      <c r="UV98" s="13"/>
      <c r="UW98" s="13"/>
      <c r="UX98" s="13"/>
      <c r="UY98" s="13"/>
      <c r="UZ98" s="13"/>
      <c r="VA98" s="13"/>
      <c r="VB98" s="13"/>
      <c r="VC98" s="13"/>
      <c r="VD98" s="13"/>
      <c r="VE98" s="13"/>
      <c r="VF98" s="13"/>
      <c r="VG98" s="13"/>
      <c r="VH98" s="13"/>
      <c r="VI98" s="13"/>
      <c r="VJ98" s="13"/>
      <c r="VK98" s="13"/>
      <c r="VL98" s="13"/>
      <c r="VM98" s="13"/>
      <c r="VN98" s="13"/>
      <c r="VO98" s="13"/>
      <c r="VP98" s="13"/>
      <c r="VQ98" s="13"/>
      <c r="VR98" s="13"/>
      <c r="VS98" s="13"/>
      <c r="VT98" s="13"/>
    </row>
    <row r="99" spans="1:592" s="13" customFormat="1" x14ac:dyDescent="0.2">
      <c r="A99" s="10" t="s">
        <v>361</v>
      </c>
      <c r="B99" s="11">
        <v>26586100</v>
      </c>
      <c r="C99" s="11" t="s">
        <v>362</v>
      </c>
      <c r="D99" s="11">
        <v>7890129</v>
      </c>
      <c r="E99" s="228" t="s">
        <v>343</v>
      </c>
      <c r="F99" s="192" t="s">
        <v>294</v>
      </c>
      <c r="G99" s="201">
        <f>IFERROR(VLOOKUP(D99,List1!$A$5:$B$227,2,FALSE),"0")</f>
        <v>885000</v>
      </c>
      <c r="H99" s="41" t="str">
        <f>IFERROR(VLOOKUP(D99,List1!$D$5:$E$41,2,FALSE),"0")</f>
        <v>0</v>
      </c>
      <c r="I99" s="41" t="str">
        <f>IFERROR(VLOOKUP(D99,List1!$G$5:$H$227,2,FALSE),"0")</f>
        <v>0</v>
      </c>
      <c r="J99" s="40">
        <f t="shared" si="10"/>
        <v>885000</v>
      </c>
      <c r="K99" s="41" t="str">
        <f>IFERROR(VLOOKUP(D99,List1!$J$5:$K$227,2,FALSE),"0")</f>
        <v>0</v>
      </c>
      <c r="L99" s="41">
        <f>IFERROR(VLOOKUP(D99,List1!$M$5:$N$112,2,FALSE),"0")</f>
        <v>14000</v>
      </c>
      <c r="M99" s="43">
        <v>0</v>
      </c>
      <c r="N99" s="80">
        <f>VLOOKUP($D$5:$D$251,List2!$A$2:$B$241,2,FALSE)</f>
        <v>0</v>
      </c>
      <c r="O99" s="80">
        <f>IFERROR(VLOOKUP($D$5:$D$260,List1!$Y$5:$Z$244,2,FALSE),0)</f>
        <v>0</v>
      </c>
      <c r="P99" s="202">
        <f>IFERROR(VLOOKUP($D$5:$D$260,List1!$AB$5:$AC$244,2,FALSE),0)</f>
        <v>0</v>
      </c>
      <c r="Q99" s="201">
        <f>IFERROR(VLOOKUP($D$5:$D$260,List1!$S$5:$T$231,2,FALSE),0)</f>
        <v>813264</v>
      </c>
      <c r="R99" s="41">
        <v>0</v>
      </c>
      <c r="S99" s="41">
        <f>IFERROR(VLOOKUP($D$5:$D$260,List1!$AE$5:$AF$231,2,FALSE),0)</f>
        <v>200000</v>
      </c>
      <c r="T99" s="41">
        <f t="shared" si="11"/>
        <v>1013264</v>
      </c>
      <c r="U99" s="41" t="str">
        <f>IFERROR(VLOOKUP(D99,List1!$P$5:$Q$110,2,FALSE),"0")</f>
        <v>0</v>
      </c>
      <c r="V99" s="41">
        <v>0</v>
      </c>
      <c r="W99" s="248">
        <v>0</v>
      </c>
      <c r="X99" s="211">
        <f t="shared" si="12"/>
        <v>1013264</v>
      </c>
      <c r="Y99" s="219"/>
      <c r="Z99" s="80">
        <f>IFERROR(VLOOKUP($D$5:$D$260,#REF!,3,FALSE),0)</f>
        <v>0</v>
      </c>
      <c r="AA99" s="80">
        <f>IFERROR(VLOOKUP($D$5:$D$260,#REF!,3,FALSE),0)</f>
        <v>0</v>
      </c>
      <c r="AB99" s="243">
        <v>0</v>
      </c>
      <c r="AC99" s="202">
        <f t="shared" si="13"/>
        <v>0</v>
      </c>
      <c r="AD99" s="259">
        <f t="shared" si="14"/>
        <v>0</v>
      </c>
      <c r="AE99" s="260">
        <f t="shared" si="15"/>
        <v>0</v>
      </c>
      <c r="AF99" s="260">
        <f t="shared" si="16"/>
        <v>0</v>
      </c>
      <c r="AG99" s="260">
        <f t="shared" si="17"/>
        <v>0</v>
      </c>
    </row>
    <row r="100" spans="1:592" s="13" customFormat="1" ht="31.5" x14ac:dyDescent="0.2">
      <c r="A100" s="10" t="s">
        <v>363</v>
      </c>
      <c r="B100" s="11">
        <v>70226148</v>
      </c>
      <c r="C100" s="11" t="s">
        <v>340</v>
      </c>
      <c r="D100" s="11">
        <v>1297986</v>
      </c>
      <c r="E100" s="228" t="s">
        <v>364</v>
      </c>
      <c r="F100" s="192" t="s">
        <v>278</v>
      </c>
      <c r="G100" s="201">
        <f>IFERROR(VLOOKUP(D100,List1!$A$5:$B$227,2,FALSE),"0")</f>
        <v>4322000</v>
      </c>
      <c r="H100" s="41" t="str">
        <f>IFERROR(VLOOKUP(D100,List1!$D$5:$E$41,2,FALSE),"0")</f>
        <v>0</v>
      </c>
      <c r="I100" s="41">
        <f>IFERROR(VLOOKUP(D100,List1!$G$5:$H$227,2,FALSE),"0")</f>
        <v>1300000</v>
      </c>
      <c r="J100" s="40">
        <f t="shared" si="10"/>
        <v>5622000</v>
      </c>
      <c r="K100" s="41" t="str">
        <f>IFERROR(VLOOKUP(D100,List1!$J$5:$K$227,2,FALSE),"0")</f>
        <v>0</v>
      </c>
      <c r="L100" s="41">
        <f>IFERROR(VLOOKUP(D100,List1!$M$5:$N$112,2,FALSE),"0")</f>
        <v>110000</v>
      </c>
      <c r="M100" s="43">
        <v>0</v>
      </c>
      <c r="N100" s="80">
        <f>VLOOKUP($D$5:$D$251,List2!$A$2:$B$241,2,FALSE)</f>
        <v>750096</v>
      </c>
      <c r="O100" s="80">
        <f>IFERROR(VLOOKUP($D$5:$D$260,List1!$Y$5:$Z$244,2,FALSE),0)</f>
        <v>0</v>
      </c>
      <c r="P100" s="202">
        <f>IFERROR(VLOOKUP($D$5:$D$260,List1!$AB$5:$AC$244,2,FALSE),0)</f>
        <v>0</v>
      </c>
      <c r="Q100" s="201">
        <f>IFERROR(VLOOKUP($D$5:$D$260,List1!$S$5:$T$231,2,FALSE),0)</f>
        <v>4657614</v>
      </c>
      <c r="R100" s="41">
        <v>0</v>
      </c>
      <c r="S100" s="41">
        <f>IFERROR(VLOOKUP($D$5:$D$260,List1!$AE$5:$AF$231,2,FALSE),0)</f>
        <v>300000</v>
      </c>
      <c r="T100" s="41">
        <f t="shared" si="11"/>
        <v>4957614</v>
      </c>
      <c r="U100" s="41">
        <f>IFERROR(VLOOKUP(D100,List1!$P$5:$Q$110,2,FALSE),"0")</f>
        <v>490000</v>
      </c>
      <c r="V100" s="41">
        <v>0</v>
      </c>
      <c r="W100" s="248">
        <v>0</v>
      </c>
      <c r="X100" s="211">
        <f t="shared" si="12"/>
        <v>5447614</v>
      </c>
      <c r="Y100" s="219"/>
      <c r="Z100" s="80">
        <f>IFERROR(VLOOKUP($D$5:$D$260,#REF!,3,FALSE),0)</f>
        <v>0</v>
      </c>
      <c r="AA100" s="80">
        <f>IFERROR(VLOOKUP($D$5:$D$260,#REF!,3,FALSE),0)</f>
        <v>0</v>
      </c>
      <c r="AB100" s="243">
        <v>0</v>
      </c>
      <c r="AC100" s="202">
        <f t="shared" si="13"/>
        <v>0</v>
      </c>
      <c r="AD100" s="259">
        <f t="shared" si="14"/>
        <v>-490000</v>
      </c>
      <c r="AE100" s="260">
        <f t="shared" si="15"/>
        <v>-1</v>
      </c>
      <c r="AF100" s="260">
        <f t="shared" si="16"/>
        <v>-1</v>
      </c>
      <c r="AG100" s="260">
        <f t="shared" si="17"/>
        <v>-1</v>
      </c>
    </row>
    <row r="101" spans="1:592" s="13" customFormat="1" ht="31.5" x14ac:dyDescent="0.2">
      <c r="A101" s="10" t="s">
        <v>363</v>
      </c>
      <c r="B101" s="11">
        <v>70226148</v>
      </c>
      <c r="C101" s="11" t="s">
        <v>340</v>
      </c>
      <c r="D101" s="11">
        <v>6790491</v>
      </c>
      <c r="E101" s="228" t="s">
        <v>330</v>
      </c>
      <c r="F101" s="192" t="s">
        <v>300</v>
      </c>
      <c r="G101" s="201">
        <f>IFERROR(VLOOKUP(D101,List1!$A$5:$B$227,2,FALSE),"0")</f>
        <v>1345000</v>
      </c>
      <c r="H101" s="41" t="str">
        <f>IFERROR(VLOOKUP(D101,List1!$D$5:$E$41,2,FALSE),"0")</f>
        <v>0</v>
      </c>
      <c r="I101" s="41">
        <f>IFERROR(VLOOKUP(D101,List1!$G$5:$H$227,2,FALSE),"0")</f>
        <v>164160</v>
      </c>
      <c r="J101" s="40">
        <f t="shared" si="10"/>
        <v>1509160</v>
      </c>
      <c r="K101" s="41" t="str">
        <f>IFERROR(VLOOKUP(D101,List1!$J$5:$K$227,2,FALSE),"0")</f>
        <v>0</v>
      </c>
      <c r="L101" s="41">
        <f>IFERROR(VLOOKUP(D101,List1!$M$5:$N$112,2,FALSE),"0")</f>
        <v>27000</v>
      </c>
      <c r="M101" s="43">
        <v>0</v>
      </c>
      <c r="N101" s="80">
        <f>VLOOKUP($D$5:$D$251,List2!$A$2:$B$241,2,FALSE)</f>
        <v>253055</v>
      </c>
      <c r="O101" s="80">
        <f>IFERROR(VLOOKUP($D$5:$D$260,List1!$Y$5:$Z$244,2,FALSE),0)</f>
        <v>0</v>
      </c>
      <c r="P101" s="202">
        <f>IFERROR(VLOOKUP($D$5:$D$260,List1!$AB$5:$AC$244,2,FALSE),0)</f>
        <v>0</v>
      </c>
      <c r="Q101" s="201">
        <f>IFERROR(VLOOKUP($D$5:$D$260,List1!$S$5:$T$231,2,FALSE),0)</f>
        <v>1659044</v>
      </c>
      <c r="R101" s="41">
        <v>0</v>
      </c>
      <c r="S101" s="41">
        <f>IFERROR(VLOOKUP($D$5:$D$260,List1!$AE$5:$AF$231,2,FALSE),0)</f>
        <v>500000</v>
      </c>
      <c r="T101" s="41">
        <f t="shared" si="11"/>
        <v>2159044</v>
      </c>
      <c r="U101" s="41">
        <f>IFERROR(VLOOKUP(D101,List1!$P$5:$Q$110,2,FALSE),"0")</f>
        <v>232000</v>
      </c>
      <c r="V101" s="41">
        <v>0</v>
      </c>
      <c r="W101" s="248">
        <v>0</v>
      </c>
      <c r="X101" s="211">
        <f t="shared" si="12"/>
        <v>2391044</v>
      </c>
      <c r="Y101" s="219"/>
      <c r="Z101" s="80">
        <f>IFERROR(VLOOKUP($D$5:$D$260,#REF!,3,FALSE),0)</f>
        <v>0</v>
      </c>
      <c r="AA101" s="80">
        <f>IFERROR(VLOOKUP($D$5:$D$260,#REF!,3,FALSE),0)</f>
        <v>0</v>
      </c>
      <c r="AB101" s="243">
        <v>0</v>
      </c>
      <c r="AC101" s="202">
        <f t="shared" si="13"/>
        <v>0</v>
      </c>
      <c r="AD101" s="259">
        <f t="shared" si="14"/>
        <v>-232000</v>
      </c>
      <c r="AE101" s="260">
        <f t="shared" si="15"/>
        <v>-1</v>
      </c>
      <c r="AF101" s="260">
        <f t="shared" si="16"/>
        <v>-1</v>
      </c>
      <c r="AG101" s="260">
        <f t="shared" si="17"/>
        <v>-1</v>
      </c>
    </row>
    <row r="102" spans="1:592" s="13" customFormat="1" ht="31.5" x14ac:dyDescent="0.2">
      <c r="A102" s="10" t="s">
        <v>363</v>
      </c>
      <c r="B102" s="11">
        <v>70226148</v>
      </c>
      <c r="C102" s="11" t="s">
        <v>340</v>
      </c>
      <c r="D102" s="11">
        <v>2925974</v>
      </c>
      <c r="E102" s="228" t="s">
        <v>314</v>
      </c>
      <c r="F102" s="192" t="s">
        <v>300</v>
      </c>
      <c r="G102" s="201">
        <f>IFERROR(VLOOKUP(D102,List1!$A$5:$B$227,2,FALSE),"0")</f>
        <v>3395000</v>
      </c>
      <c r="H102" s="41" t="str">
        <f>IFERROR(VLOOKUP(D102,List1!$D$5:$E$41,2,FALSE),"0")</f>
        <v>0</v>
      </c>
      <c r="I102" s="41">
        <f>IFERROR(VLOOKUP(D102,List1!$G$5:$H$227,2,FALSE),"0")</f>
        <v>210000</v>
      </c>
      <c r="J102" s="40">
        <f t="shared" si="10"/>
        <v>3605000</v>
      </c>
      <c r="K102" s="41" t="str">
        <f>IFERROR(VLOOKUP(D102,List1!$J$5:$K$227,2,FALSE),"0")</f>
        <v>0</v>
      </c>
      <c r="L102" s="41">
        <f>IFERROR(VLOOKUP(D102,List1!$M$5:$N$112,2,FALSE),"0")</f>
        <v>63000</v>
      </c>
      <c r="M102" s="43">
        <v>0</v>
      </c>
      <c r="N102" s="80">
        <f>VLOOKUP($D$5:$D$251,List2!$A$2:$B$241,2,FALSE)</f>
        <v>421835</v>
      </c>
      <c r="O102" s="80">
        <f>IFERROR(VLOOKUP($D$5:$D$260,List1!$Y$5:$Z$244,2,FALSE),0)</f>
        <v>0</v>
      </c>
      <c r="P102" s="202">
        <f>IFERROR(VLOOKUP($D$5:$D$260,List1!$AB$5:$AC$244,2,FALSE),0)</f>
        <v>0</v>
      </c>
      <c r="Q102" s="201">
        <f>IFERROR(VLOOKUP($D$5:$D$260,List1!$S$5:$T$231,2,FALSE),0)</f>
        <v>3278487</v>
      </c>
      <c r="R102" s="41">
        <v>0</v>
      </c>
      <c r="S102" s="41">
        <f>IFERROR(VLOOKUP($D$5:$D$260,List1!$AE$5:$AF$231,2,FALSE),0)</f>
        <v>950000</v>
      </c>
      <c r="T102" s="41">
        <f t="shared" si="11"/>
        <v>4228487</v>
      </c>
      <c r="U102" s="41">
        <f>IFERROR(VLOOKUP(D102,List1!$P$5:$Q$110,2,FALSE),"0")</f>
        <v>406000</v>
      </c>
      <c r="V102" s="41">
        <v>0</v>
      </c>
      <c r="W102" s="248">
        <v>0</v>
      </c>
      <c r="X102" s="211">
        <f t="shared" si="12"/>
        <v>4634487</v>
      </c>
      <c r="Y102" s="219"/>
      <c r="Z102" s="80">
        <f>IFERROR(VLOOKUP($D$5:$D$260,#REF!,3,FALSE),0)</f>
        <v>0</v>
      </c>
      <c r="AA102" s="80">
        <f>IFERROR(VLOOKUP($D$5:$D$260,#REF!,3,FALSE),0)</f>
        <v>0</v>
      </c>
      <c r="AB102" s="243">
        <v>0</v>
      </c>
      <c r="AC102" s="202">
        <f t="shared" si="13"/>
        <v>0</v>
      </c>
      <c r="AD102" s="259">
        <f t="shared" si="14"/>
        <v>-406000</v>
      </c>
      <c r="AE102" s="260">
        <f t="shared" si="15"/>
        <v>-1</v>
      </c>
      <c r="AF102" s="260">
        <f t="shared" si="16"/>
        <v>-1</v>
      </c>
      <c r="AG102" s="260">
        <f t="shared" si="17"/>
        <v>-1</v>
      </c>
    </row>
    <row r="103" spans="1:592" s="13" customFormat="1" ht="31.5" x14ac:dyDescent="0.2">
      <c r="A103" s="10" t="s">
        <v>197</v>
      </c>
      <c r="B103" s="11">
        <v>46749411</v>
      </c>
      <c r="C103" s="11" t="s">
        <v>318</v>
      </c>
      <c r="D103" s="11">
        <v>3596108</v>
      </c>
      <c r="E103" s="225" t="s">
        <v>365</v>
      </c>
      <c r="F103" s="192" t="s">
        <v>294</v>
      </c>
      <c r="G103" s="203">
        <f>IFERROR(VLOOKUP(D103,List1!$A$5:$B$227,2,FALSE),"0")-4484000</f>
        <v>0</v>
      </c>
      <c r="H103" s="45">
        <f>IFERROR(VLOOKUP(D103,List1!$D$5:$E$41,2,FALSE),"0")-679543.8</f>
        <v>1585602.2</v>
      </c>
      <c r="I103" s="41" t="str">
        <f>IFERROR(VLOOKUP(D103,List1!$G$5:$H$227,2,FALSE),"0")</f>
        <v>0</v>
      </c>
      <c r="J103" s="40">
        <f t="shared" si="10"/>
        <v>1585602.2</v>
      </c>
      <c r="K103" s="41">
        <f>IFERROR(VLOOKUP(D103,List1!$J$5:$K$227,2,FALSE),"0")</f>
        <v>283000</v>
      </c>
      <c r="L103" s="41" t="str">
        <f>IFERROR(VLOOKUP(D103,List1!$M$5:$N$112,2,FALSE),"0")</f>
        <v>0</v>
      </c>
      <c r="M103" s="43">
        <v>8461838</v>
      </c>
      <c r="N103" s="80">
        <f>VLOOKUP($D$5:$D$251,List2!$A$2:$B$241,2,FALSE)</f>
        <v>558385.73</v>
      </c>
      <c r="O103" s="80">
        <f>IFERROR(VLOOKUP($D$5:$D$260,List1!$Y$5:$Z$244,2,FALSE),0)</f>
        <v>0</v>
      </c>
      <c r="P103" s="202">
        <f>IFERROR(VLOOKUP($D$5:$D$260,List1!$AB$5:$AC$244,2,FALSE),0)</f>
        <v>0</v>
      </c>
      <c r="Q103" s="201">
        <f>IFERROR(VLOOKUP($D$5:$D$260,List1!$S$5:$T$231,2,FALSE),0)</f>
        <v>4116273</v>
      </c>
      <c r="R103" s="41">
        <v>0</v>
      </c>
      <c r="S103" s="45">
        <f>IFERROR(VLOOKUP($D$5:$D$260,List1!$AE$5:$AF$231,2,FALSE),0)+192136</f>
        <v>992136</v>
      </c>
      <c r="T103" s="41">
        <f t="shared" si="11"/>
        <v>5108409</v>
      </c>
      <c r="U103" s="41">
        <f>IFERROR(VLOOKUP(D103,List1!$P$5:$Q$110,2,FALSE),"0")</f>
        <v>490000</v>
      </c>
      <c r="V103" s="41">
        <v>0</v>
      </c>
      <c r="W103" s="248">
        <v>0</v>
      </c>
      <c r="X103" s="211">
        <f t="shared" si="12"/>
        <v>5598409</v>
      </c>
      <c r="Y103" s="219"/>
      <c r="Z103" s="80">
        <f>IFERROR(VLOOKUP($D$5:$D$260,#REF!,3,FALSE),0)</f>
        <v>0</v>
      </c>
      <c r="AA103" s="80">
        <f>IFERROR(VLOOKUP($D$5:$D$260,#REF!,3,FALSE),0)</f>
        <v>0</v>
      </c>
      <c r="AB103" s="243">
        <v>0</v>
      </c>
      <c r="AC103" s="202">
        <f t="shared" si="13"/>
        <v>0</v>
      </c>
      <c r="AD103" s="259">
        <f t="shared" si="14"/>
        <v>-490000</v>
      </c>
      <c r="AE103" s="260">
        <f t="shared" si="15"/>
        <v>-1</v>
      </c>
      <c r="AF103" s="260">
        <f t="shared" si="16"/>
        <v>-1</v>
      </c>
      <c r="AG103" s="260">
        <f t="shared" si="17"/>
        <v>-1</v>
      </c>
    </row>
    <row r="104" spans="1:592" s="13" customFormat="1" ht="31.5" x14ac:dyDescent="0.2">
      <c r="A104" s="10" t="s">
        <v>197</v>
      </c>
      <c r="B104" s="11">
        <v>46749411</v>
      </c>
      <c r="C104" s="11" t="s">
        <v>318</v>
      </c>
      <c r="D104" s="11">
        <v>1226991</v>
      </c>
      <c r="E104" s="225" t="s">
        <v>290</v>
      </c>
      <c r="F104" s="192" t="s">
        <v>278</v>
      </c>
      <c r="G104" s="201">
        <f>IFERROR(VLOOKUP(D104,List1!$A$5:$B$227,2,FALSE),"0")</f>
        <v>2712000</v>
      </c>
      <c r="H104" s="41">
        <f>IFERROR(VLOOKUP(D104,List1!$D$5:$E$41,2,FALSE),"0")</f>
        <v>1062231</v>
      </c>
      <c r="I104" s="41">
        <f>IFERROR(VLOOKUP(D104,List1!$G$5:$H$227,2,FALSE),"0")</f>
        <v>754883</v>
      </c>
      <c r="J104" s="40">
        <f t="shared" si="10"/>
        <v>4529114</v>
      </c>
      <c r="K104" s="41">
        <f>IFERROR(VLOOKUP(D104,List1!$J$5:$K$227,2,FALSE),"0")</f>
        <v>231000</v>
      </c>
      <c r="L104" s="41">
        <f>IFERROR(VLOOKUP(D104,List1!$M$5:$N$112,2,FALSE),"0")</f>
        <v>81000</v>
      </c>
      <c r="M104" s="43">
        <v>0</v>
      </c>
      <c r="N104" s="80">
        <f>VLOOKUP($D$5:$D$251,List2!$A$2:$B$241,2,FALSE)</f>
        <v>139545</v>
      </c>
      <c r="O104" s="80">
        <f>IFERROR(VLOOKUP($D$5:$D$260,List1!$Y$5:$Z$244,2,FALSE),0)</f>
        <v>0</v>
      </c>
      <c r="P104" s="202">
        <f>IFERROR(VLOOKUP($D$5:$D$260,List1!$AB$5:$AC$244,2,FALSE),0)</f>
        <v>0</v>
      </c>
      <c r="Q104" s="201">
        <f>IFERROR(VLOOKUP($D$5:$D$260,List1!$S$5:$T$231,2,FALSE),0)</f>
        <v>4172686</v>
      </c>
      <c r="R104" s="41">
        <v>0</v>
      </c>
      <c r="S104" s="41">
        <f>IFERROR(VLOOKUP($D$5:$D$260,List1!$AE$5:$AF$231,2,FALSE),0)</f>
        <v>969221</v>
      </c>
      <c r="T104" s="41">
        <f t="shared" si="11"/>
        <v>5141907</v>
      </c>
      <c r="U104" s="41">
        <f>IFERROR(VLOOKUP(D104,List1!$P$5:$Q$110,2,FALSE),"0")</f>
        <v>490000</v>
      </c>
      <c r="V104" s="41">
        <v>0</v>
      </c>
      <c r="W104" s="248">
        <v>0</v>
      </c>
      <c r="X104" s="211">
        <f t="shared" si="12"/>
        <v>5631907</v>
      </c>
      <c r="Y104" s="219"/>
      <c r="Z104" s="80">
        <f>IFERROR(VLOOKUP($D$5:$D$260,#REF!,3,FALSE),0)</f>
        <v>0</v>
      </c>
      <c r="AA104" s="80">
        <f>IFERROR(VLOOKUP($D$5:$D$260,#REF!,3,FALSE),0)</f>
        <v>0</v>
      </c>
      <c r="AB104" s="243">
        <v>0</v>
      </c>
      <c r="AC104" s="202">
        <f t="shared" si="13"/>
        <v>0</v>
      </c>
      <c r="AD104" s="259">
        <f t="shared" si="14"/>
        <v>-490000</v>
      </c>
      <c r="AE104" s="260">
        <f t="shared" si="15"/>
        <v>-1</v>
      </c>
      <c r="AF104" s="260">
        <f t="shared" si="16"/>
        <v>-1</v>
      </c>
      <c r="AG104" s="260">
        <f t="shared" si="17"/>
        <v>-1</v>
      </c>
    </row>
    <row r="105" spans="1:592" s="13" customFormat="1" ht="31.5" x14ac:dyDescent="0.2">
      <c r="A105" s="10" t="s">
        <v>197</v>
      </c>
      <c r="B105" s="11">
        <v>46749411</v>
      </c>
      <c r="C105" s="11" t="s">
        <v>318</v>
      </c>
      <c r="D105" s="11">
        <v>3865693</v>
      </c>
      <c r="E105" s="225" t="s">
        <v>337</v>
      </c>
      <c r="F105" s="192" t="s">
        <v>278</v>
      </c>
      <c r="G105" s="201">
        <f>IFERROR(VLOOKUP(D105,List1!$A$5:$B$227,2,FALSE),"0")</f>
        <v>4569000</v>
      </c>
      <c r="H105" s="41">
        <f>IFERROR(VLOOKUP(D105,List1!$D$5:$E$41,2,FALSE),"0")</f>
        <v>97184</v>
      </c>
      <c r="I105" s="41" t="str">
        <f>IFERROR(VLOOKUP(D105,List1!$G$5:$H$227,2,FALSE),"0")</f>
        <v>0</v>
      </c>
      <c r="J105" s="40">
        <f t="shared" si="10"/>
        <v>4666184</v>
      </c>
      <c r="K105" s="41">
        <f>IFERROR(VLOOKUP(D105,List1!$J$5:$K$227,2,FALSE),"0")</f>
        <v>219000</v>
      </c>
      <c r="L105" s="41" t="str">
        <f>IFERROR(VLOOKUP(D105,List1!$M$5:$N$112,2,FALSE),"0")</f>
        <v>0</v>
      </c>
      <c r="M105" s="43">
        <v>0</v>
      </c>
      <c r="N105" s="80">
        <f>VLOOKUP($D$5:$D$251,List2!$A$2:$B$241,2,FALSE)</f>
        <v>331176</v>
      </c>
      <c r="O105" s="80">
        <f>IFERROR(VLOOKUP($D$5:$D$260,List1!$Y$5:$Z$244,2,FALSE),0)</f>
        <v>0</v>
      </c>
      <c r="P105" s="202">
        <f>IFERROR(VLOOKUP($D$5:$D$260,List1!$AB$5:$AC$244,2,FALSE),0)</f>
        <v>0</v>
      </c>
      <c r="Q105" s="201">
        <f>IFERROR(VLOOKUP($D$5:$D$260,List1!$S$5:$T$231,2,FALSE),0)</f>
        <v>4461144</v>
      </c>
      <c r="R105" s="41">
        <v>0</v>
      </c>
      <c r="S105" s="41">
        <f>IFERROR(VLOOKUP($D$5:$D$260,List1!$AE$5:$AF$231,2,FALSE),0)</f>
        <v>969221</v>
      </c>
      <c r="T105" s="41">
        <f t="shared" si="11"/>
        <v>5430365</v>
      </c>
      <c r="U105" s="41">
        <f>IFERROR(VLOOKUP(D105,List1!$P$5:$Q$110,2,FALSE),"0")</f>
        <v>490000</v>
      </c>
      <c r="V105" s="41">
        <v>0</v>
      </c>
      <c r="W105" s="248">
        <v>0</v>
      </c>
      <c r="X105" s="211">
        <f t="shared" si="12"/>
        <v>5920365</v>
      </c>
      <c r="Y105" s="219"/>
      <c r="Z105" s="80">
        <f>IFERROR(VLOOKUP($D$5:$D$260,#REF!,3,FALSE),0)</f>
        <v>0</v>
      </c>
      <c r="AA105" s="80">
        <f>IFERROR(VLOOKUP($D$5:$D$260,#REF!,3,FALSE),0)</f>
        <v>0</v>
      </c>
      <c r="AB105" s="243">
        <v>0</v>
      </c>
      <c r="AC105" s="202">
        <f t="shared" si="13"/>
        <v>0</v>
      </c>
      <c r="AD105" s="259">
        <f t="shared" si="14"/>
        <v>-490000</v>
      </c>
      <c r="AE105" s="260">
        <f t="shared" si="15"/>
        <v>-1</v>
      </c>
      <c r="AF105" s="260">
        <f t="shared" si="16"/>
        <v>-1</v>
      </c>
      <c r="AG105" s="260">
        <f t="shared" si="17"/>
        <v>-1</v>
      </c>
    </row>
    <row r="106" spans="1:592" s="21" customFormat="1" ht="31.5" x14ac:dyDescent="0.2">
      <c r="A106" s="10" t="s">
        <v>197</v>
      </c>
      <c r="B106" s="11">
        <v>46749411</v>
      </c>
      <c r="C106" s="11" t="s">
        <v>318</v>
      </c>
      <c r="D106" s="11">
        <v>5563434</v>
      </c>
      <c r="E106" s="228" t="s">
        <v>338</v>
      </c>
      <c r="F106" s="192" t="s">
        <v>269</v>
      </c>
      <c r="G106" s="203">
        <f>IFERROR(VLOOKUP(D106,List1!$A$5:$B$227,2,FALSE),"0")-979000</f>
        <v>979000</v>
      </c>
      <c r="H106" s="41">
        <f>IFERROR(VLOOKUP(D106,List1!$D$5:$E$41,2,FALSE),"0")</f>
        <v>624367</v>
      </c>
      <c r="I106" s="41" t="str">
        <f>IFERROR(VLOOKUP(D106,List1!$G$5:$H$227,2,FALSE),"0")</f>
        <v>0</v>
      </c>
      <c r="J106" s="40">
        <f t="shared" si="10"/>
        <v>1603367</v>
      </c>
      <c r="K106" s="41">
        <f>IFERROR(VLOOKUP(D106,List1!$J$5:$K$227,2,FALSE),"0")</f>
        <v>104000</v>
      </c>
      <c r="L106" s="41" t="str">
        <f>IFERROR(VLOOKUP(D106,List1!$M$5:$N$112,2,FALSE),"0")</f>
        <v>0</v>
      </c>
      <c r="M106" s="43">
        <v>1538516</v>
      </c>
      <c r="N106" s="80">
        <f>VLOOKUP($D$5:$D$251,List2!$A$2:$B$241,2,FALSE)</f>
        <v>111784</v>
      </c>
      <c r="O106" s="80">
        <f>IFERROR(VLOOKUP($D$5:$D$260,List1!$Y$5:$Z$244,2,FALSE),0)</f>
        <v>0</v>
      </c>
      <c r="P106" s="202">
        <f>IFERROR(VLOOKUP($D$5:$D$260,List1!$AB$5:$AC$244,2,FALSE),0)</f>
        <v>0</v>
      </c>
      <c r="Q106" s="201">
        <f>IFERROR(VLOOKUP($D$5:$D$260,List1!$S$5:$T$231,2,FALSE),0)</f>
        <v>1897088</v>
      </c>
      <c r="R106" s="41">
        <v>0</v>
      </c>
      <c r="S106" s="41">
        <f>IFERROR(VLOOKUP($D$5:$D$260,List1!$AE$5:$AF$231,2,FALSE),0)</f>
        <v>550000</v>
      </c>
      <c r="T106" s="41">
        <f t="shared" si="11"/>
        <v>2447088</v>
      </c>
      <c r="U106" s="41">
        <f>IFERROR(VLOOKUP(D106,List1!$P$5:$Q$110,2,FALSE),"0")</f>
        <v>337000</v>
      </c>
      <c r="V106" s="41">
        <v>0</v>
      </c>
      <c r="W106" s="248">
        <v>0</v>
      </c>
      <c r="X106" s="211">
        <f t="shared" si="12"/>
        <v>2784088</v>
      </c>
      <c r="Y106" s="219"/>
      <c r="Z106" s="80">
        <f>IFERROR(VLOOKUP($D$5:$D$260,#REF!,3,FALSE),0)</f>
        <v>0</v>
      </c>
      <c r="AA106" s="80">
        <f>IFERROR(VLOOKUP($D$5:$D$260,#REF!,3,FALSE),0)</f>
        <v>0</v>
      </c>
      <c r="AB106" s="243">
        <v>0</v>
      </c>
      <c r="AC106" s="202">
        <f t="shared" si="13"/>
        <v>0</v>
      </c>
      <c r="AD106" s="259">
        <f t="shared" si="14"/>
        <v>-337000</v>
      </c>
      <c r="AE106" s="260">
        <f t="shared" si="15"/>
        <v>-1</v>
      </c>
      <c r="AF106" s="260">
        <f t="shared" si="16"/>
        <v>-1</v>
      </c>
      <c r="AG106" s="260">
        <f t="shared" si="17"/>
        <v>-1</v>
      </c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  <c r="IT106" s="13"/>
      <c r="IU106" s="13"/>
      <c r="IV106" s="13"/>
      <c r="IW106" s="13"/>
      <c r="IX106" s="13"/>
      <c r="IY106" s="13"/>
      <c r="IZ106" s="13"/>
      <c r="JA106" s="13"/>
      <c r="JB106" s="13"/>
      <c r="JC106" s="13"/>
      <c r="JD106" s="13"/>
      <c r="JE106" s="13"/>
      <c r="JF106" s="13"/>
      <c r="JG106" s="13"/>
      <c r="JH106" s="13"/>
      <c r="JI106" s="13"/>
      <c r="JJ106" s="13"/>
      <c r="JK106" s="13"/>
      <c r="JL106" s="13"/>
      <c r="JM106" s="13"/>
      <c r="JN106" s="13"/>
      <c r="JO106" s="13"/>
      <c r="JP106" s="13"/>
      <c r="JQ106" s="13"/>
      <c r="JR106" s="13"/>
      <c r="JS106" s="13"/>
      <c r="JT106" s="13"/>
      <c r="JU106" s="13"/>
      <c r="JV106" s="13"/>
      <c r="JW106" s="13"/>
      <c r="JX106" s="13"/>
      <c r="JY106" s="13"/>
      <c r="JZ106" s="13"/>
      <c r="KA106" s="13"/>
      <c r="KB106" s="13"/>
      <c r="KC106" s="13"/>
      <c r="KD106" s="13"/>
      <c r="KE106" s="13"/>
      <c r="KF106" s="13"/>
      <c r="KG106" s="13"/>
      <c r="KH106" s="13"/>
      <c r="KI106" s="13"/>
      <c r="KJ106" s="13"/>
      <c r="KK106" s="13"/>
      <c r="KL106" s="13"/>
      <c r="KM106" s="13"/>
      <c r="KN106" s="13"/>
      <c r="KO106" s="13"/>
      <c r="KP106" s="13"/>
      <c r="KQ106" s="13"/>
      <c r="KR106" s="13"/>
      <c r="KS106" s="13"/>
      <c r="KT106" s="13"/>
      <c r="KU106" s="13"/>
      <c r="KV106" s="13"/>
      <c r="KW106" s="13"/>
      <c r="KX106" s="13"/>
      <c r="KY106" s="13"/>
      <c r="KZ106" s="13"/>
      <c r="LA106" s="13"/>
      <c r="LB106" s="13"/>
      <c r="LC106" s="13"/>
      <c r="LD106" s="13"/>
      <c r="LE106" s="13"/>
      <c r="LF106" s="13"/>
      <c r="LG106" s="13"/>
      <c r="LH106" s="13"/>
      <c r="LI106" s="13"/>
      <c r="LJ106" s="13"/>
      <c r="LK106" s="13"/>
      <c r="LL106" s="13"/>
      <c r="LM106" s="13"/>
      <c r="LN106" s="13"/>
      <c r="LO106" s="13"/>
      <c r="LP106" s="13"/>
      <c r="LQ106" s="13"/>
      <c r="LR106" s="13"/>
      <c r="LS106" s="13"/>
      <c r="LT106" s="13"/>
      <c r="LU106" s="13"/>
      <c r="LV106" s="13"/>
      <c r="LW106" s="13"/>
      <c r="LX106" s="13"/>
      <c r="LY106" s="13"/>
      <c r="LZ106" s="13"/>
      <c r="MA106" s="13"/>
      <c r="MB106" s="13"/>
      <c r="MC106" s="13"/>
      <c r="MD106" s="13"/>
      <c r="ME106" s="13"/>
      <c r="MF106" s="13"/>
      <c r="MG106" s="13"/>
      <c r="MH106" s="13"/>
      <c r="MI106" s="13"/>
      <c r="MJ106" s="13"/>
      <c r="MK106" s="13"/>
      <c r="ML106" s="13"/>
      <c r="MM106" s="13"/>
      <c r="MN106" s="13"/>
      <c r="MO106" s="13"/>
      <c r="MP106" s="13"/>
      <c r="MQ106" s="13"/>
      <c r="MR106" s="13"/>
      <c r="MS106" s="13"/>
      <c r="MT106" s="13"/>
      <c r="MU106" s="13"/>
      <c r="MV106" s="13"/>
      <c r="MW106" s="13"/>
      <c r="MX106" s="13"/>
      <c r="MY106" s="13"/>
      <c r="MZ106" s="13"/>
      <c r="NA106" s="13"/>
      <c r="NB106" s="13"/>
      <c r="NC106" s="13"/>
      <c r="ND106" s="13"/>
      <c r="NE106" s="13"/>
      <c r="NF106" s="13"/>
      <c r="NG106" s="13"/>
      <c r="NH106" s="13"/>
      <c r="NI106" s="13"/>
      <c r="NJ106" s="13"/>
      <c r="NK106" s="13"/>
      <c r="NL106" s="13"/>
      <c r="NM106" s="13"/>
      <c r="NN106" s="13"/>
      <c r="NO106" s="13"/>
      <c r="NP106" s="13"/>
      <c r="NQ106" s="13"/>
      <c r="NR106" s="13"/>
      <c r="NS106" s="13"/>
      <c r="NT106" s="13"/>
      <c r="NU106" s="13"/>
      <c r="NV106" s="13"/>
      <c r="NW106" s="13"/>
      <c r="NX106" s="13"/>
      <c r="NY106" s="13"/>
      <c r="NZ106" s="13"/>
      <c r="OA106" s="13"/>
      <c r="OB106" s="13"/>
      <c r="OC106" s="13"/>
      <c r="OD106" s="13"/>
      <c r="OE106" s="13"/>
      <c r="OF106" s="13"/>
      <c r="OG106" s="13"/>
      <c r="OH106" s="13"/>
      <c r="OI106" s="13"/>
      <c r="OJ106" s="13"/>
      <c r="OK106" s="13"/>
      <c r="OL106" s="13"/>
      <c r="OM106" s="13"/>
      <c r="ON106" s="13"/>
      <c r="OO106" s="13"/>
      <c r="OP106" s="13"/>
      <c r="OQ106" s="13"/>
      <c r="OR106" s="13"/>
      <c r="OS106" s="13"/>
      <c r="OT106" s="13"/>
      <c r="OU106" s="13"/>
      <c r="OV106" s="13"/>
      <c r="OW106" s="13"/>
      <c r="OX106" s="13"/>
      <c r="OY106" s="13"/>
      <c r="OZ106" s="13"/>
      <c r="PA106" s="13"/>
      <c r="PB106" s="13"/>
      <c r="PC106" s="13"/>
      <c r="PD106" s="13"/>
      <c r="PE106" s="13"/>
      <c r="PF106" s="13"/>
      <c r="PG106" s="13"/>
      <c r="PH106" s="13"/>
      <c r="PI106" s="13"/>
      <c r="PJ106" s="13"/>
      <c r="PK106" s="13"/>
      <c r="PL106" s="13"/>
      <c r="PM106" s="13"/>
      <c r="PN106" s="13"/>
      <c r="PO106" s="13"/>
      <c r="PP106" s="13"/>
      <c r="PQ106" s="13"/>
      <c r="PR106" s="13"/>
      <c r="PS106" s="13"/>
      <c r="PT106" s="13"/>
      <c r="PU106" s="13"/>
      <c r="PV106" s="13"/>
      <c r="PW106" s="13"/>
      <c r="PX106" s="13"/>
      <c r="PY106" s="13"/>
      <c r="PZ106" s="13"/>
      <c r="QA106" s="13"/>
      <c r="QB106" s="13"/>
      <c r="QC106" s="13"/>
      <c r="QD106" s="13"/>
      <c r="QE106" s="13"/>
      <c r="QF106" s="13"/>
      <c r="QG106" s="13"/>
      <c r="QH106" s="13"/>
      <c r="QI106" s="13"/>
      <c r="QJ106" s="13"/>
      <c r="QK106" s="13"/>
      <c r="QL106" s="13"/>
      <c r="QM106" s="13"/>
      <c r="QN106" s="13"/>
      <c r="QO106" s="13"/>
      <c r="QP106" s="13"/>
      <c r="QQ106" s="13"/>
      <c r="QR106" s="13"/>
      <c r="QS106" s="13"/>
      <c r="QT106" s="13"/>
      <c r="QU106" s="13"/>
      <c r="QV106" s="13"/>
      <c r="QW106" s="13"/>
      <c r="QX106" s="13"/>
      <c r="QY106" s="13"/>
      <c r="QZ106" s="13"/>
      <c r="RA106" s="13"/>
      <c r="RB106" s="13"/>
      <c r="RC106" s="13"/>
      <c r="RD106" s="13"/>
      <c r="RE106" s="13"/>
      <c r="RF106" s="13"/>
      <c r="RG106" s="13"/>
      <c r="RH106" s="13"/>
      <c r="RI106" s="13"/>
      <c r="RJ106" s="13"/>
      <c r="RK106" s="13"/>
      <c r="RL106" s="13"/>
      <c r="RM106" s="13"/>
      <c r="RN106" s="13"/>
      <c r="RO106" s="13"/>
      <c r="RP106" s="13"/>
      <c r="RQ106" s="13"/>
      <c r="RR106" s="13"/>
      <c r="RS106" s="13"/>
      <c r="RT106" s="13"/>
      <c r="RU106" s="13"/>
      <c r="RV106" s="13"/>
      <c r="RW106" s="13"/>
      <c r="RX106" s="13"/>
      <c r="RY106" s="13"/>
      <c r="RZ106" s="13"/>
      <c r="SA106" s="13"/>
      <c r="SB106" s="13"/>
      <c r="SC106" s="13"/>
      <c r="SD106" s="13"/>
      <c r="SE106" s="13"/>
      <c r="SF106" s="13"/>
      <c r="SG106" s="13"/>
      <c r="SH106" s="13"/>
      <c r="SI106" s="13"/>
      <c r="SJ106" s="13"/>
      <c r="SK106" s="13"/>
      <c r="SL106" s="13"/>
      <c r="SM106" s="13"/>
      <c r="SN106" s="13"/>
      <c r="SO106" s="13"/>
      <c r="SP106" s="13"/>
      <c r="SQ106" s="13"/>
      <c r="SR106" s="13"/>
      <c r="SS106" s="13"/>
      <c r="ST106" s="13"/>
      <c r="SU106" s="13"/>
      <c r="SV106" s="13"/>
      <c r="SW106" s="13"/>
      <c r="SX106" s="13"/>
      <c r="SY106" s="13"/>
      <c r="SZ106" s="13"/>
      <c r="TA106" s="13"/>
      <c r="TB106" s="13"/>
      <c r="TC106" s="13"/>
      <c r="TD106" s="13"/>
      <c r="TE106" s="13"/>
      <c r="TF106" s="13"/>
      <c r="TG106" s="13"/>
      <c r="TH106" s="13"/>
      <c r="TI106" s="13"/>
      <c r="TJ106" s="13"/>
      <c r="TK106" s="13"/>
      <c r="TL106" s="13"/>
      <c r="TM106" s="13"/>
      <c r="TN106" s="13"/>
      <c r="TO106" s="13"/>
      <c r="TP106" s="13"/>
      <c r="TQ106" s="13"/>
      <c r="TR106" s="13"/>
      <c r="TS106" s="13"/>
      <c r="TT106" s="13"/>
      <c r="TU106" s="13"/>
      <c r="TV106" s="13"/>
      <c r="TW106" s="13"/>
      <c r="TX106" s="13"/>
      <c r="TY106" s="13"/>
      <c r="TZ106" s="13"/>
      <c r="UA106" s="13"/>
      <c r="UB106" s="13"/>
      <c r="UC106" s="13"/>
      <c r="UD106" s="13"/>
      <c r="UE106" s="13"/>
      <c r="UF106" s="13"/>
      <c r="UG106" s="13"/>
      <c r="UH106" s="13"/>
      <c r="UI106" s="13"/>
      <c r="UJ106" s="13"/>
      <c r="UK106" s="13"/>
      <c r="UL106" s="13"/>
      <c r="UM106" s="13"/>
      <c r="UN106" s="13"/>
      <c r="UO106" s="13"/>
      <c r="UP106" s="13"/>
      <c r="UQ106" s="13"/>
      <c r="UR106" s="13"/>
      <c r="US106" s="13"/>
      <c r="UT106" s="13"/>
      <c r="UU106" s="13"/>
      <c r="UV106" s="13"/>
      <c r="UW106" s="13"/>
      <c r="UX106" s="13"/>
      <c r="UY106" s="13"/>
      <c r="UZ106" s="13"/>
      <c r="VA106" s="13"/>
      <c r="VB106" s="13"/>
      <c r="VC106" s="13"/>
      <c r="VD106" s="13"/>
      <c r="VE106" s="13"/>
      <c r="VF106" s="13"/>
      <c r="VG106" s="13"/>
      <c r="VH106" s="13"/>
      <c r="VI106" s="13"/>
      <c r="VJ106" s="13"/>
      <c r="VK106" s="13"/>
      <c r="VL106" s="13"/>
      <c r="VM106" s="13"/>
      <c r="VN106" s="13"/>
      <c r="VO106" s="13"/>
      <c r="VP106" s="13"/>
      <c r="VQ106" s="13"/>
      <c r="VR106" s="13"/>
      <c r="VS106" s="13"/>
      <c r="VT106" s="13"/>
    </row>
    <row r="107" spans="1:592" s="13" customFormat="1" ht="31.5" x14ac:dyDescent="0.2">
      <c r="A107" s="10" t="s">
        <v>197</v>
      </c>
      <c r="B107" s="11">
        <v>46749411</v>
      </c>
      <c r="C107" s="11" t="s">
        <v>318</v>
      </c>
      <c r="D107" s="11">
        <v>8208204</v>
      </c>
      <c r="E107" s="228" t="s">
        <v>343</v>
      </c>
      <c r="F107" s="192" t="s">
        <v>300</v>
      </c>
      <c r="G107" s="203">
        <f>IFERROR(VLOOKUP(D107,List1!$A$5:$B$227,2,FALSE),"0")-2936307.69</f>
        <v>244692.31000000006</v>
      </c>
      <c r="H107" s="41">
        <f>IFERROR(VLOOKUP(D107,List1!$D$5:$E$41,2,FALSE),"0")</f>
        <v>762658</v>
      </c>
      <c r="I107" s="41" t="str">
        <f>IFERROR(VLOOKUP(D107,List1!$G$5:$H$227,2,FALSE),"0")</f>
        <v>0</v>
      </c>
      <c r="J107" s="40">
        <f t="shared" si="10"/>
        <v>1007350.31</v>
      </c>
      <c r="K107" s="41">
        <f>IFERROR(VLOOKUP(D107,List1!$J$5:$K$227,2,FALSE),"0")</f>
        <v>168000</v>
      </c>
      <c r="L107" s="41" t="str">
        <f>IFERROR(VLOOKUP(D107,List1!$M$5:$N$112,2,FALSE),"0")</f>
        <v>0</v>
      </c>
      <c r="M107" s="43">
        <v>4615548</v>
      </c>
      <c r="N107" s="80">
        <f>VLOOKUP($D$5:$D$251,List2!$A$2:$B$241,2,FALSE)</f>
        <v>382212</v>
      </c>
      <c r="O107" s="80">
        <f>IFERROR(VLOOKUP($D$5:$D$260,List1!$Y$5:$Z$244,2,FALSE),0)</f>
        <v>0</v>
      </c>
      <c r="P107" s="202">
        <f>IFERROR(VLOOKUP($D$5:$D$260,List1!$AB$5:$AC$244,2,FALSE),0)</f>
        <v>0</v>
      </c>
      <c r="Q107" s="201">
        <f>IFERROR(VLOOKUP($D$5:$D$260,List1!$S$5:$T$231,2,FALSE),0)</f>
        <v>5794071</v>
      </c>
      <c r="R107" s="41">
        <v>0</v>
      </c>
      <c r="S107" s="41">
        <f>IFERROR(VLOOKUP($D$5:$D$260,List1!$AE$5:$AF$231,2,FALSE),0)</f>
        <v>170000</v>
      </c>
      <c r="T107" s="41">
        <f t="shared" si="11"/>
        <v>5964071</v>
      </c>
      <c r="U107" s="41">
        <f>IFERROR(VLOOKUP(D107,List1!$P$5:$Q$110,2,FALSE),"0")</f>
        <v>490000</v>
      </c>
      <c r="V107" s="41">
        <v>0</v>
      </c>
      <c r="W107" s="248">
        <v>0</v>
      </c>
      <c r="X107" s="211">
        <f t="shared" si="12"/>
        <v>6454071</v>
      </c>
      <c r="Y107" s="219"/>
      <c r="Z107" s="80">
        <f>IFERROR(VLOOKUP($D$5:$D$260,#REF!,3,FALSE),0)</f>
        <v>0</v>
      </c>
      <c r="AA107" s="80">
        <f>IFERROR(VLOOKUP($D$5:$D$260,#REF!,3,FALSE),0)</f>
        <v>0</v>
      </c>
      <c r="AB107" s="243">
        <v>0</v>
      </c>
      <c r="AC107" s="202">
        <f t="shared" si="13"/>
        <v>0</v>
      </c>
      <c r="AD107" s="259">
        <f t="shared" si="14"/>
        <v>-490000</v>
      </c>
      <c r="AE107" s="260">
        <f t="shared" si="15"/>
        <v>-1</v>
      </c>
      <c r="AF107" s="260">
        <f t="shared" si="16"/>
        <v>-1</v>
      </c>
      <c r="AG107" s="260">
        <f t="shared" si="17"/>
        <v>-1</v>
      </c>
    </row>
    <row r="108" spans="1:592" s="13" customFormat="1" ht="21" x14ac:dyDescent="0.2">
      <c r="A108" s="10" t="s">
        <v>366</v>
      </c>
      <c r="B108" s="11">
        <v>22871080</v>
      </c>
      <c r="C108" s="11" t="s">
        <v>288</v>
      </c>
      <c r="D108" s="11">
        <v>6265472</v>
      </c>
      <c r="E108" s="228" t="s">
        <v>338</v>
      </c>
      <c r="F108" s="192" t="s">
        <v>269</v>
      </c>
      <c r="G108" s="203">
        <f>IFERROR(VLOOKUP(D108,List1!$A$5:$B$227,2,FALSE),"0")-1468500</f>
        <v>489500</v>
      </c>
      <c r="H108" s="41">
        <f>IFERROR(VLOOKUP(D108,List1!$D$5:$E$41,2,FALSE),"0")</f>
        <v>337147</v>
      </c>
      <c r="I108" s="41" t="str">
        <f>IFERROR(VLOOKUP(D108,List1!$G$5:$H$227,2,FALSE),"0")</f>
        <v>0</v>
      </c>
      <c r="J108" s="40">
        <f t="shared" si="10"/>
        <v>826647</v>
      </c>
      <c r="K108" s="41">
        <f>IFERROR(VLOOKUP(D108,List1!$J$5:$K$227,2,FALSE),"0")</f>
        <v>104000</v>
      </c>
      <c r="L108" s="41" t="str">
        <f>IFERROR(VLOOKUP(D108,List1!$M$5:$N$112,2,FALSE),"0")</f>
        <v>0</v>
      </c>
      <c r="M108" s="43">
        <v>2307774</v>
      </c>
      <c r="N108" s="80">
        <f>VLOOKUP($D$5:$D$251,List2!$A$2:$B$241,2,FALSE)</f>
        <v>75000</v>
      </c>
      <c r="O108" s="80">
        <f>IFERROR(VLOOKUP($D$5:$D$260,List1!$Y$5:$Z$244,2,FALSE),0)</f>
        <v>0</v>
      </c>
      <c r="P108" s="202">
        <f>IFERROR(VLOOKUP($D$5:$D$260,List1!$AB$5:$AC$244,2,FALSE),0)</f>
        <v>0</v>
      </c>
      <c r="Q108" s="201">
        <f>IFERROR(VLOOKUP($D$5:$D$260,List1!$S$5:$T$231,2,FALSE),0)</f>
        <v>2142164</v>
      </c>
      <c r="R108" s="41">
        <v>0</v>
      </c>
      <c r="S108" s="41">
        <f>IFERROR(VLOOKUP($D$5:$D$260,List1!$AE$5:$AF$231,2,FALSE),0)</f>
        <v>600000</v>
      </c>
      <c r="T108" s="41">
        <f t="shared" si="11"/>
        <v>2742164</v>
      </c>
      <c r="U108" s="41">
        <f>IFERROR(VLOOKUP(D108,List1!$P$5:$Q$110,2,FALSE),"0")</f>
        <v>337000</v>
      </c>
      <c r="V108" s="41">
        <v>0</v>
      </c>
      <c r="W108" s="248">
        <v>0</v>
      </c>
      <c r="X108" s="211">
        <f t="shared" si="12"/>
        <v>3079164</v>
      </c>
      <c r="Y108" s="219"/>
      <c r="Z108" s="80">
        <f>IFERROR(VLOOKUP($D$5:$D$260,#REF!,3,FALSE),0)</f>
        <v>0</v>
      </c>
      <c r="AA108" s="80">
        <f>IFERROR(VLOOKUP($D$5:$D$260,#REF!,3,FALSE),0)</f>
        <v>0</v>
      </c>
      <c r="AB108" s="243">
        <v>0</v>
      </c>
      <c r="AC108" s="202">
        <f t="shared" si="13"/>
        <v>0</v>
      </c>
      <c r="AD108" s="259">
        <f t="shared" si="14"/>
        <v>-337000</v>
      </c>
      <c r="AE108" s="260">
        <f t="shared" si="15"/>
        <v>-1</v>
      </c>
      <c r="AF108" s="260">
        <f t="shared" si="16"/>
        <v>-1</v>
      </c>
      <c r="AG108" s="260">
        <f t="shared" si="17"/>
        <v>-1</v>
      </c>
    </row>
    <row r="109" spans="1:592" s="13" customFormat="1" x14ac:dyDescent="0.2">
      <c r="A109" s="10" t="s">
        <v>366</v>
      </c>
      <c r="B109" s="11">
        <v>22871080</v>
      </c>
      <c r="C109" s="11" t="s">
        <v>288</v>
      </c>
      <c r="D109" s="11">
        <v>8899363</v>
      </c>
      <c r="E109" s="228" t="s">
        <v>343</v>
      </c>
      <c r="F109" s="192" t="s">
        <v>269</v>
      </c>
      <c r="G109" s="203">
        <f>IFERROR(VLOOKUP(D109,List1!$A$5:$B$227,2,FALSE),"0")-979000</f>
        <v>0</v>
      </c>
      <c r="H109" s="41">
        <f>IFERROR(VLOOKUP(D109,List1!$D$5:$E$41,2,FALSE),"0")</f>
        <v>324493</v>
      </c>
      <c r="I109" s="41" t="str">
        <f>IFERROR(VLOOKUP(D109,List1!$G$5:$H$227,2,FALSE),"0")</f>
        <v>0</v>
      </c>
      <c r="J109" s="40">
        <f t="shared" si="10"/>
        <v>324493</v>
      </c>
      <c r="K109" s="41">
        <f>IFERROR(VLOOKUP(D109,List1!$J$5:$K$227,2,FALSE),"0")</f>
        <v>52000</v>
      </c>
      <c r="L109" s="41" t="str">
        <f>IFERROR(VLOOKUP(D109,List1!$M$5:$N$112,2,FALSE),"0")</f>
        <v>0</v>
      </c>
      <c r="M109" s="43">
        <v>1538516</v>
      </c>
      <c r="N109" s="80">
        <f>VLOOKUP($D$5:$D$251,List2!$A$2:$B$241,2,FALSE)</f>
        <v>9000</v>
      </c>
      <c r="O109" s="80">
        <f>IFERROR(VLOOKUP($D$5:$D$260,List1!$Y$5:$Z$244,2,FALSE),0)</f>
        <v>0</v>
      </c>
      <c r="P109" s="202">
        <f>IFERROR(VLOOKUP($D$5:$D$260,List1!$AB$5:$AC$244,2,FALSE),0)</f>
        <v>0</v>
      </c>
      <c r="Q109" s="201">
        <f>IFERROR(VLOOKUP($D$5:$D$260,List1!$S$5:$T$231,2,FALSE),0)</f>
        <v>1443983</v>
      </c>
      <c r="R109" s="41">
        <v>0</v>
      </c>
      <c r="S109" s="41">
        <f>IFERROR(VLOOKUP($D$5:$D$260,List1!$AE$5:$AF$231,2,FALSE),0)</f>
        <v>400000</v>
      </c>
      <c r="T109" s="41">
        <f t="shared" si="11"/>
        <v>1843983</v>
      </c>
      <c r="U109" s="41">
        <f>IFERROR(VLOOKUP(D109,List1!$P$5:$Q$110,2,FALSE),"0")</f>
        <v>253000</v>
      </c>
      <c r="V109" s="41">
        <v>0</v>
      </c>
      <c r="W109" s="248">
        <v>0</v>
      </c>
      <c r="X109" s="211">
        <f t="shared" si="12"/>
        <v>2096983</v>
      </c>
      <c r="Y109" s="219"/>
      <c r="Z109" s="80">
        <f>IFERROR(VLOOKUP($D$5:$D$260,#REF!,3,FALSE),0)</f>
        <v>0</v>
      </c>
      <c r="AA109" s="80">
        <f>IFERROR(VLOOKUP($D$5:$D$260,#REF!,3,FALSE),0)</f>
        <v>0</v>
      </c>
      <c r="AB109" s="243">
        <v>0</v>
      </c>
      <c r="AC109" s="202">
        <f t="shared" si="13"/>
        <v>0</v>
      </c>
      <c r="AD109" s="259">
        <f t="shared" si="14"/>
        <v>-253000</v>
      </c>
      <c r="AE109" s="260">
        <f t="shared" si="15"/>
        <v>-1</v>
      </c>
      <c r="AF109" s="260">
        <f t="shared" si="16"/>
        <v>-1</v>
      </c>
      <c r="AG109" s="260">
        <f t="shared" si="17"/>
        <v>-1</v>
      </c>
    </row>
    <row r="110" spans="1:592" s="13" customFormat="1" ht="21" x14ac:dyDescent="0.2">
      <c r="A110" s="10" t="s">
        <v>215</v>
      </c>
      <c r="B110" s="11">
        <v>49295101</v>
      </c>
      <c r="C110" s="11" t="s">
        <v>288</v>
      </c>
      <c r="D110" s="11">
        <v>7471836</v>
      </c>
      <c r="E110" s="225" t="s">
        <v>365</v>
      </c>
      <c r="F110" s="192" t="s">
        <v>294</v>
      </c>
      <c r="G110" s="203">
        <f>IFERROR(VLOOKUP(D110,List1!$A$5:$B$227,2,FALSE),"0")-2036000</f>
        <v>0</v>
      </c>
      <c r="H110" s="45">
        <f>IFERROR(VLOOKUP(D110,List1!$D$5:$E$41,2,FALSE),"0")-1230775</f>
        <v>662725</v>
      </c>
      <c r="I110" s="41">
        <f>IFERROR(VLOOKUP(D110,List1!$G$5:$H$227,2,FALSE),"0")</f>
        <v>0</v>
      </c>
      <c r="J110" s="40">
        <f t="shared" si="10"/>
        <v>662725</v>
      </c>
      <c r="K110" s="41">
        <f>IFERROR(VLOOKUP(D110,List1!$J$5:$K$227,2,FALSE),"0")</f>
        <v>129000</v>
      </c>
      <c r="L110" s="41" t="str">
        <f>IFERROR(VLOOKUP(D110,List1!$M$5:$N$112,2,FALSE),"0")</f>
        <v>0</v>
      </c>
      <c r="M110" s="43">
        <v>3846290</v>
      </c>
      <c r="N110" s="80">
        <f>VLOOKUP($D$5:$D$251,List2!$A$2:$B$241,2,FALSE)</f>
        <v>15000</v>
      </c>
      <c r="O110" s="80">
        <f>IFERROR(VLOOKUP($D$5:$D$260,List1!$Y$5:$Z$244,2,FALSE),0)</f>
        <v>0</v>
      </c>
      <c r="P110" s="202">
        <f>IFERROR(VLOOKUP($D$5:$D$260,List1!$AB$5:$AC$244,2,FALSE),0)</f>
        <v>0</v>
      </c>
      <c r="Q110" s="201">
        <f>IFERROR(VLOOKUP($D$5:$D$260,List1!$S$5:$T$231,2,FALSE),0)</f>
        <v>2147541</v>
      </c>
      <c r="R110" s="41">
        <v>0</v>
      </c>
      <c r="S110" s="41">
        <f>IFERROR(VLOOKUP($D$5:$D$260,List1!$AE$5:$AF$231,2,FALSE),0)</f>
        <v>400000</v>
      </c>
      <c r="T110" s="41">
        <f t="shared" si="11"/>
        <v>2547541</v>
      </c>
      <c r="U110" s="41">
        <f>IFERROR(VLOOKUP(D110,List1!$P$5:$Q$110,2,FALSE),"0")</f>
        <v>421000</v>
      </c>
      <c r="V110" s="41">
        <v>0</v>
      </c>
      <c r="W110" s="248">
        <v>0</v>
      </c>
      <c r="X110" s="211">
        <f t="shared" si="12"/>
        <v>2968541</v>
      </c>
      <c r="Y110" s="219"/>
      <c r="Z110" s="80">
        <f>IFERROR(VLOOKUP($D$5:$D$260,#REF!,3,FALSE),0)</f>
        <v>0</v>
      </c>
      <c r="AA110" s="80">
        <f>IFERROR(VLOOKUP($D$5:$D$260,#REF!,3,FALSE),0)</f>
        <v>0</v>
      </c>
      <c r="AB110" s="243">
        <v>0</v>
      </c>
      <c r="AC110" s="202">
        <f t="shared" si="13"/>
        <v>0</v>
      </c>
      <c r="AD110" s="259">
        <f t="shared" si="14"/>
        <v>-421000</v>
      </c>
      <c r="AE110" s="260">
        <f t="shared" si="15"/>
        <v>-1</v>
      </c>
      <c r="AF110" s="260">
        <f t="shared" si="16"/>
        <v>-1</v>
      </c>
      <c r="AG110" s="260">
        <f t="shared" si="17"/>
        <v>-1</v>
      </c>
    </row>
    <row r="111" spans="1:592" s="13" customFormat="1" x14ac:dyDescent="0.2">
      <c r="A111" s="10" t="s">
        <v>215</v>
      </c>
      <c r="B111" s="11">
        <v>49295101</v>
      </c>
      <c r="C111" s="11" t="s">
        <v>288</v>
      </c>
      <c r="D111" s="11">
        <v>9314906</v>
      </c>
      <c r="E111" s="225" t="s">
        <v>297</v>
      </c>
      <c r="F111" s="192" t="s">
        <v>269</v>
      </c>
      <c r="G111" s="201">
        <f>IFERROR(VLOOKUP(D111,List1!$A$5:$B$227,2,FALSE),"0")</f>
        <v>856000</v>
      </c>
      <c r="H111" s="41">
        <f>IFERROR(VLOOKUP(D111,List1!$D$5:$E$41,2,FALSE),"0")</f>
        <v>504931</v>
      </c>
      <c r="I111" s="41">
        <f>IFERROR(VLOOKUP(D111,List1!$G$5:$H$227,2,FALSE),"0")</f>
        <v>248886</v>
      </c>
      <c r="J111" s="40">
        <f t="shared" si="10"/>
        <v>1609817</v>
      </c>
      <c r="K111" s="41">
        <f>IFERROR(VLOOKUP(D111,List1!$J$5:$K$227,2,FALSE),"0")</f>
        <v>59000</v>
      </c>
      <c r="L111" s="41" t="str">
        <f>IFERROR(VLOOKUP(D111,List1!$M$5:$N$112,2,FALSE),"0")</f>
        <v>0</v>
      </c>
      <c r="M111" s="43">
        <v>0</v>
      </c>
      <c r="N111" s="80">
        <f>VLOOKUP($D$5:$D$251,List2!$A$2:$B$241,2,FALSE)</f>
        <v>0</v>
      </c>
      <c r="O111" s="80">
        <f>IFERROR(VLOOKUP($D$5:$D$260,List1!$Y$5:$Z$244,2,FALSE),0)</f>
        <v>0</v>
      </c>
      <c r="P111" s="202">
        <f>IFERROR(VLOOKUP($D$5:$D$260,List1!$AB$5:$AC$244,2,FALSE),0)</f>
        <v>0</v>
      </c>
      <c r="Q111" s="201">
        <f>IFERROR(VLOOKUP($D$5:$D$260,List1!$S$5:$T$231,2,FALSE),0)</f>
        <v>1009916</v>
      </c>
      <c r="R111" s="41">
        <v>0</v>
      </c>
      <c r="S111" s="41">
        <f>IFERROR(VLOOKUP($D$5:$D$260,List1!$AE$5:$AF$231,2,FALSE),0)</f>
        <v>200000</v>
      </c>
      <c r="T111" s="41">
        <f t="shared" si="11"/>
        <v>1209916</v>
      </c>
      <c r="U111" s="41">
        <f>IFERROR(VLOOKUP(D111,List1!$P$5:$Q$110,2,FALSE),"0")</f>
        <v>194000</v>
      </c>
      <c r="V111" s="41">
        <v>0</v>
      </c>
      <c r="W111" s="248">
        <v>0</v>
      </c>
      <c r="X111" s="211">
        <f t="shared" si="12"/>
        <v>1403916</v>
      </c>
      <c r="Y111" s="219"/>
      <c r="Z111" s="80">
        <f>IFERROR(VLOOKUP($D$5:$D$260,#REF!,3,FALSE),0)</f>
        <v>0</v>
      </c>
      <c r="AA111" s="80">
        <f>IFERROR(VLOOKUP($D$5:$D$260,#REF!,3,FALSE),0)</f>
        <v>0</v>
      </c>
      <c r="AB111" s="243">
        <v>0</v>
      </c>
      <c r="AC111" s="202">
        <f t="shared" si="13"/>
        <v>0</v>
      </c>
      <c r="AD111" s="259">
        <f t="shared" si="14"/>
        <v>-194000</v>
      </c>
      <c r="AE111" s="260">
        <f t="shared" si="15"/>
        <v>-1</v>
      </c>
      <c r="AF111" s="260">
        <f t="shared" si="16"/>
        <v>-1</v>
      </c>
      <c r="AG111" s="260">
        <f t="shared" si="17"/>
        <v>-1</v>
      </c>
    </row>
    <row r="112" spans="1:592" s="13" customFormat="1" ht="21" x14ac:dyDescent="0.2">
      <c r="A112" s="10" t="s">
        <v>215</v>
      </c>
      <c r="B112" s="11">
        <v>49295101</v>
      </c>
      <c r="C112" s="11" t="s">
        <v>288</v>
      </c>
      <c r="D112" s="11">
        <v>4661168</v>
      </c>
      <c r="E112" s="228" t="s">
        <v>338</v>
      </c>
      <c r="F112" s="192" t="s">
        <v>269</v>
      </c>
      <c r="G112" s="203">
        <f>IFERROR(VLOOKUP(D112,List1!$A$5:$B$227,2,FALSE),"0")-1468000</f>
        <v>0</v>
      </c>
      <c r="H112" s="45">
        <f>IFERROR(VLOOKUP(D112,List1!$D$5:$E$41,2,FALSE),"0")-422022.9</f>
        <v>227243.09999999998</v>
      </c>
      <c r="I112" s="41">
        <f>IFERROR(VLOOKUP(D112,List1!$G$5:$H$227,2,FALSE),"0")</f>
        <v>0</v>
      </c>
      <c r="J112" s="40">
        <f t="shared" si="10"/>
        <v>227243.09999999998</v>
      </c>
      <c r="K112" s="41">
        <f>IFERROR(VLOOKUP(D112,List1!$J$5:$K$227,2,FALSE),"0")</f>
        <v>77000</v>
      </c>
      <c r="L112" s="41" t="str">
        <f>IFERROR(VLOOKUP(D112,List1!$M$5:$N$112,2,FALSE),"0")</f>
        <v>0</v>
      </c>
      <c r="M112" s="43">
        <v>2307774</v>
      </c>
      <c r="N112" s="80">
        <f>VLOOKUP($D$5:$D$251,List2!$A$2:$B$241,2,FALSE)</f>
        <v>0</v>
      </c>
      <c r="O112" s="80">
        <f>IFERROR(VLOOKUP($D$5:$D$260,List1!$Y$5:$Z$244,2,FALSE),0)</f>
        <v>0</v>
      </c>
      <c r="P112" s="202">
        <f>IFERROR(VLOOKUP($D$5:$D$260,List1!$AB$5:$AC$244,2,FALSE),0)</f>
        <v>0</v>
      </c>
      <c r="Q112" s="201">
        <f>IFERROR(VLOOKUP($D$5:$D$260,List1!$S$5:$T$231,2,FALSE),0)</f>
        <v>1741997</v>
      </c>
      <c r="R112" s="41">
        <v>0</v>
      </c>
      <c r="S112" s="41">
        <f>IFERROR(VLOOKUP($D$5:$D$260,List1!$AE$5:$AF$231,2,FALSE),0)</f>
        <v>500000</v>
      </c>
      <c r="T112" s="41">
        <f t="shared" si="11"/>
        <v>2241997</v>
      </c>
      <c r="U112" s="41">
        <f>IFERROR(VLOOKUP(D112,List1!$P$5:$Q$110,2,FALSE),"0")</f>
        <v>253000</v>
      </c>
      <c r="V112" s="41">
        <v>0</v>
      </c>
      <c r="W112" s="248">
        <v>0</v>
      </c>
      <c r="X112" s="211">
        <f t="shared" si="12"/>
        <v>2494997</v>
      </c>
      <c r="Y112" s="219"/>
      <c r="Z112" s="80">
        <f>IFERROR(VLOOKUP($D$5:$D$260,#REF!,3,FALSE),0)</f>
        <v>0</v>
      </c>
      <c r="AA112" s="80">
        <f>IFERROR(VLOOKUP($D$5:$D$260,#REF!,3,FALSE),0)</f>
        <v>0</v>
      </c>
      <c r="AB112" s="243">
        <v>0</v>
      </c>
      <c r="AC112" s="202">
        <f t="shared" si="13"/>
        <v>0</v>
      </c>
      <c r="AD112" s="259">
        <f t="shared" si="14"/>
        <v>-253000</v>
      </c>
      <c r="AE112" s="260">
        <f t="shared" si="15"/>
        <v>-1</v>
      </c>
      <c r="AF112" s="260">
        <f t="shared" si="16"/>
        <v>-1</v>
      </c>
      <c r="AG112" s="260">
        <f t="shared" si="17"/>
        <v>-1</v>
      </c>
    </row>
    <row r="113" spans="1:592" s="22" customFormat="1" ht="31.5" x14ac:dyDescent="0.2">
      <c r="A113" s="10" t="s">
        <v>92</v>
      </c>
      <c r="B113" s="11">
        <v>28700210</v>
      </c>
      <c r="C113" s="11" t="s">
        <v>318</v>
      </c>
      <c r="D113" s="11">
        <v>9543067</v>
      </c>
      <c r="E113" s="12" t="s">
        <v>268</v>
      </c>
      <c r="F113" s="192" t="s">
        <v>300</v>
      </c>
      <c r="G113" s="201">
        <f>IFERROR(VLOOKUP(D113,List1!$A$5:$B$227,2,FALSE),"0")</f>
        <v>1465000</v>
      </c>
      <c r="H113" s="41" t="str">
        <f>IFERROR(VLOOKUP(D113,List1!$D$5:$E$41,2,FALSE),"0")</f>
        <v>0</v>
      </c>
      <c r="I113" s="41">
        <f>IFERROR(VLOOKUP(D113,List1!$G$5:$H$227,2,FALSE),"0")</f>
        <v>332614</v>
      </c>
      <c r="J113" s="40">
        <f t="shared" si="10"/>
        <v>1797614</v>
      </c>
      <c r="K113" s="41">
        <f>IFERROR(VLOOKUP(D113,List1!$J$5:$K$227,2,FALSE),"0")</f>
        <v>59000</v>
      </c>
      <c r="L113" s="41">
        <f>IFERROR(VLOOKUP(D113,List1!$M$5:$N$112,2,FALSE),"0")</f>
        <v>25000</v>
      </c>
      <c r="M113" s="43">
        <v>0</v>
      </c>
      <c r="N113" s="80">
        <f>VLOOKUP($D$5:$D$251,List2!$A$2:$B$241,2,FALSE)</f>
        <v>120000</v>
      </c>
      <c r="O113" s="80">
        <f>IFERROR(VLOOKUP($D$5:$D$260,List1!$Y$5:$Z$244,2,FALSE),0)</f>
        <v>0</v>
      </c>
      <c r="P113" s="202">
        <f>IFERROR(VLOOKUP($D$5:$D$260,List1!$AB$5:$AC$244,2,FALSE),0)</f>
        <v>0</v>
      </c>
      <c r="Q113" s="201">
        <f>IFERROR(VLOOKUP($D$5:$D$260,List1!$S$5:$T$231,2,FALSE),0)</f>
        <v>1140593</v>
      </c>
      <c r="R113" s="41">
        <v>0</v>
      </c>
      <c r="S113" s="41">
        <f>IFERROR(VLOOKUP($D$5:$D$260,List1!$AE$5:$AF$231,2,FALSE),0)</f>
        <v>300000</v>
      </c>
      <c r="T113" s="41">
        <f t="shared" si="11"/>
        <v>1440593</v>
      </c>
      <c r="U113" s="41">
        <f>IFERROR(VLOOKUP(D113,List1!$P$5:$Q$110,2,FALSE),"0")</f>
        <v>160000</v>
      </c>
      <c r="V113" s="41">
        <v>0</v>
      </c>
      <c r="W113" s="248">
        <v>0</v>
      </c>
      <c r="X113" s="211">
        <f t="shared" si="12"/>
        <v>1600593</v>
      </c>
      <c r="Y113" s="219"/>
      <c r="Z113" s="80">
        <f>IFERROR(VLOOKUP($D$5:$D$260,#REF!,3,FALSE),0)</f>
        <v>0</v>
      </c>
      <c r="AA113" s="80">
        <f>IFERROR(VLOOKUP($D$5:$D$260,#REF!,3,FALSE),0)</f>
        <v>0</v>
      </c>
      <c r="AB113" s="243">
        <v>0</v>
      </c>
      <c r="AC113" s="202">
        <f t="shared" si="13"/>
        <v>0</v>
      </c>
      <c r="AD113" s="259">
        <f t="shared" si="14"/>
        <v>-160000</v>
      </c>
      <c r="AE113" s="260">
        <f t="shared" si="15"/>
        <v>-1</v>
      </c>
      <c r="AF113" s="260">
        <f t="shared" si="16"/>
        <v>-1</v>
      </c>
      <c r="AG113" s="260">
        <f t="shared" si="17"/>
        <v>-1</v>
      </c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  <c r="IS113" s="13"/>
      <c r="IT113" s="13"/>
      <c r="IU113" s="13"/>
      <c r="IV113" s="13"/>
      <c r="IW113" s="13"/>
      <c r="IX113" s="13"/>
      <c r="IY113" s="13"/>
      <c r="IZ113" s="13"/>
      <c r="JA113" s="13"/>
      <c r="JB113" s="13"/>
      <c r="JC113" s="13"/>
      <c r="JD113" s="13"/>
      <c r="JE113" s="13"/>
      <c r="JF113" s="13"/>
      <c r="JG113" s="13"/>
      <c r="JH113" s="13"/>
      <c r="JI113" s="13"/>
      <c r="JJ113" s="13"/>
      <c r="JK113" s="13"/>
      <c r="JL113" s="13"/>
      <c r="JM113" s="13"/>
      <c r="JN113" s="13"/>
      <c r="JO113" s="13"/>
      <c r="JP113" s="13"/>
      <c r="JQ113" s="13"/>
      <c r="JR113" s="13"/>
      <c r="JS113" s="13"/>
      <c r="JT113" s="13"/>
      <c r="JU113" s="13"/>
      <c r="JV113" s="13"/>
      <c r="JW113" s="13"/>
      <c r="JX113" s="13"/>
      <c r="JY113" s="13"/>
      <c r="JZ113" s="13"/>
      <c r="KA113" s="13"/>
      <c r="KB113" s="13"/>
      <c r="KC113" s="13"/>
      <c r="KD113" s="13"/>
      <c r="KE113" s="13"/>
      <c r="KF113" s="13"/>
      <c r="KG113" s="13"/>
      <c r="KH113" s="13"/>
      <c r="KI113" s="13"/>
      <c r="KJ113" s="13"/>
      <c r="KK113" s="13"/>
      <c r="KL113" s="13"/>
      <c r="KM113" s="13"/>
      <c r="KN113" s="13"/>
      <c r="KO113" s="13"/>
      <c r="KP113" s="13"/>
      <c r="KQ113" s="13"/>
      <c r="KR113" s="13"/>
      <c r="KS113" s="13"/>
      <c r="KT113" s="13"/>
      <c r="KU113" s="13"/>
      <c r="KV113" s="13"/>
      <c r="KW113" s="13"/>
      <c r="KX113" s="13"/>
      <c r="KY113" s="13"/>
      <c r="KZ113" s="13"/>
      <c r="LA113" s="13"/>
      <c r="LB113" s="13"/>
      <c r="LC113" s="13"/>
      <c r="LD113" s="13"/>
      <c r="LE113" s="13"/>
      <c r="LF113" s="13"/>
      <c r="LG113" s="13"/>
      <c r="LH113" s="13"/>
      <c r="LI113" s="13"/>
      <c r="LJ113" s="13"/>
      <c r="LK113" s="13"/>
      <c r="LL113" s="13"/>
      <c r="LM113" s="13"/>
      <c r="LN113" s="13"/>
      <c r="LO113" s="13"/>
      <c r="LP113" s="13"/>
      <c r="LQ113" s="13"/>
      <c r="LR113" s="13"/>
      <c r="LS113" s="13"/>
      <c r="LT113" s="13"/>
      <c r="LU113" s="13"/>
      <c r="LV113" s="13"/>
      <c r="LW113" s="13"/>
      <c r="LX113" s="13"/>
      <c r="LY113" s="13"/>
      <c r="LZ113" s="13"/>
      <c r="MA113" s="13"/>
      <c r="MB113" s="13"/>
      <c r="MC113" s="13"/>
      <c r="MD113" s="13"/>
      <c r="ME113" s="13"/>
      <c r="MF113" s="13"/>
      <c r="MG113" s="13"/>
      <c r="MH113" s="13"/>
      <c r="MI113" s="13"/>
      <c r="MJ113" s="13"/>
      <c r="MK113" s="13"/>
      <c r="ML113" s="13"/>
      <c r="MM113" s="13"/>
      <c r="MN113" s="13"/>
      <c r="MO113" s="13"/>
      <c r="MP113" s="13"/>
      <c r="MQ113" s="13"/>
      <c r="MR113" s="13"/>
      <c r="MS113" s="13"/>
      <c r="MT113" s="13"/>
      <c r="MU113" s="13"/>
      <c r="MV113" s="13"/>
      <c r="MW113" s="13"/>
      <c r="MX113" s="13"/>
      <c r="MY113" s="13"/>
      <c r="MZ113" s="13"/>
      <c r="NA113" s="13"/>
      <c r="NB113" s="13"/>
      <c r="NC113" s="13"/>
      <c r="ND113" s="13"/>
      <c r="NE113" s="13"/>
      <c r="NF113" s="13"/>
      <c r="NG113" s="13"/>
      <c r="NH113" s="13"/>
      <c r="NI113" s="13"/>
      <c r="NJ113" s="13"/>
      <c r="NK113" s="13"/>
      <c r="NL113" s="13"/>
      <c r="NM113" s="13"/>
      <c r="NN113" s="13"/>
      <c r="NO113" s="13"/>
      <c r="NP113" s="13"/>
      <c r="NQ113" s="13"/>
      <c r="NR113" s="13"/>
      <c r="NS113" s="13"/>
      <c r="NT113" s="13"/>
      <c r="NU113" s="13"/>
      <c r="NV113" s="13"/>
      <c r="NW113" s="13"/>
      <c r="NX113" s="13"/>
      <c r="NY113" s="13"/>
      <c r="NZ113" s="13"/>
      <c r="OA113" s="13"/>
      <c r="OB113" s="13"/>
      <c r="OC113" s="13"/>
      <c r="OD113" s="13"/>
      <c r="OE113" s="13"/>
      <c r="OF113" s="13"/>
      <c r="OG113" s="13"/>
      <c r="OH113" s="13"/>
      <c r="OI113" s="13"/>
      <c r="OJ113" s="13"/>
      <c r="OK113" s="13"/>
      <c r="OL113" s="13"/>
      <c r="OM113" s="13"/>
      <c r="ON113" s="13"/>
      <c r="OO113" s="13"/>
      <c r="OP113" s="13"/>
      <c r="OQ113" s="13"/>
      <c r="OR113" s="13"/>
      <c r="OS113" s="13"/>
      <c r="OT113" s="13"/>
      <c r="OU113" s="13"/>
      <c r="OV113" s="13"/>
      <c r="OW113" s="13"/>
      <c r="OX113" s="13"/>
      <c r="OY113" s="13"/>
      <c r="OZ113" s="13"/>
      <c r="PA113" s="13"/>
      <c r="PB113" s="13"/>
      <c r="PC113" s="13"/>
      <c r="PD113" s="13"/>
      <c r="PE113" s="13"/>
      <c r="PF113" s="13"/>
      <c r="PG113" s="13"/>
      <c r="PH113" s="13"/>
      <c r="PI113" s="13"/>
      <c r="PJ113" s="13"/>
      <c r="PK113" s="13"/>
      <c r="PL113" s="13"/>
      <c r="PM113" s="13"/>
      <c r="PN113" s="13"/>
      <c r="PO113" s="13"/>
      <c r="PP113" s="13"/>
      <c r="PQ113" s="13"/>
      <c r="PR113" s="13"/>
      <c r="PS113" s="13"/>
      <c r="PT113" s="13"/>
      <c r="PU113" s="13"/>
      <c r="PV113" s="13"/>
      <c r="PW113" s="13"/>
      <c r="PX113" s="13"/>
      <c r="PY113" s="13"/>
      <c r="PZ113" s="13"/>
      <c r="QA113" s="13"/>
      <c r="QB113" s="13"/>
      <c r="QC113" s="13"/>
      <c r="QD113" s="13"/>
      <c r="QE113" s="13"/>
      <c r="QF113" s="13"/>
      <c r="QG113" s="13"/>
      <c r="QH113" s="13"/>
      <c r="QI113" s="13"/>
      <c r="QJ113" s="13"/>
      <c r="QK113" s="13"/>
      <c r="QL113" s="13"/>
      <c r="QM113" s="13"/>
      <c r="QN113" s="13"/>
      <c r="QO113" s="13"/>
      <c r="QP113" s="13"/>
      <c r="QQ113" s="13"/>
      <c r="QR113" s="13"/>
      <c r="QS113" s="13"/>
      <c r="QT113" s="13"/>
      <c r="QU113" s="13"/>
      <c r="QV113" s="13"/>
      <c r="QW113" s="13"/>
      <c r="QX113" s="13"/>
      <c r="QY113" s="13"/>
      <c r="QZ113" s="13"/>
      <c r="RA113" s="13"/>
      <c r="RB113" s="13"/>
      <c r="RC113" s="13"/>
      <c r="RD113" s="13"/>
      <c r="RE113" s="13"/>
      <c r="RF113" s="13"/>
      <c r="RG113" s="13"/>
      <c r="RH113" s="13"/>
      <c r="RI113" s="13"/>
      <c r="RJ113" s="13"/>
      <c r="RK113" s="13"/>
      <c r="RL113" s="13"/>
      <c r="RM113" s="13"/>
      <c r="RN113" s="13"/>
      <c r="RO113" s="13"/>
      <c r="RP113" s="13"/>
      <c r="RQ113" s="13"/>
      <c r="RR113" s="13"/>
      <c r="RS113" s="13"/>
      <c r="RT113" s="13"/>
      <c r="RU113" s="13"/>
      <c r="RV113" s="13"/>
      <c r="RW113" s="13"/>
      <c r="RX113" s="13"/>
      <c r="RY113" s="13"/>
      <c r="RZ113" s="13"/>
      <c r="SA113" s="13"/>
      <c r="SB113" s="13"/>
      <c r="SC113" s="13"/>
      <c r="SD113" s="13"/>
      <c r="SE113" s="13"/>
      <c r="SF113" s="13"/>
      <c r="SG113" s="13"/>
      <c r="SH113" s="13"/>
      <c r="SI113" s="13"/>
      <c r="SJ113" s="13"/>
      <c r="SK113" s="13"/>
      <c r="SL113" s="13"/>
      <c r="SM113" s="13"/>
      <c r="SN113" s="13"/>
      <c r="SO113" s="13"/>
      <c r="SP113" s="13"/>
      <c r="SQ113" s="13"/>
      <c r="SR113" s="13"/>
      <c r="SS113" s="13"/>
      <c r="ST113" s="13"/>
      <c r="SU113" s="13"/>
      <c r="SV113" s="13"/>
      <c r="SW113" s="13"/>
      <c r="SX113" s="13"/>
      <c r="SY113" s="13"/>
      <c r="SZ113" s="13"/>
      <c r="TA113" s="13"/>
      <c r="TB113" s="13"/>
      <c r="TC113" s="13"/>
      <c r="TD113" s="13"/>
      <c r="TE113" s="13"/>
      <c r="TF113" s="13"/>
      <c r="TG113" s="13"/>
      <c r="TH113" s="13"/>
      <c r="TI113" s="13"/>
      <c r="TJ113" s="13"/>
      <c r="TK113" s="13"/>
      <c r="TL113" s="13"/>
      <c r="TM113" s="13"/>
      <c r="TN113" s="13"/>
      <c r="TO113" s="13"/>
      <c r="TP113" s="13"/>
      <c r="TQ113" s="13"/>
      <c r="TR113" s="13"/>
      <c r="TS113" s="13"/>
      <c r="TT113" s="13"/>
      <c r="TU113" s="13"/>
      <c r="TV113" s="13"/>
      <c r="TW113" s="13"/>
      <c r="TX113" s="13"/>
      <c r="TY113" s="13"/>
      <c r="TZ113" s="13"/>
      <c r="UA113" s="13"/>
      <c r="UB113" s="13"/>
      <c r="UC113" s="13"/>
      <c r="UD113" s="13"/>
      <c r="UE113" s="13"/>
      <c r="UF113" s="13"/>
      <c r="UG113" s="13"/>
      <c r="UH113" s="13"/>
      <c r="UI113" s="13"/>
      <c r="UJ113" s="13"/>
      <c r="UK113" s="13"/>
      <c r="UL113" s="13"/>
      <c r="UM113" s="13"/>
      <c r="UN113" s="13"/>
      <c r="UO113" s="13"/>
      <c r="UP113" s="13"/>
      <c r="UQ113" s="13"/>
      <c r="UR113" s="13"/>
      <c r="US113" s="13"/>
      <c r="UT113" s="13"/>
      <c r="UU113" s="13"/>
      <c r="UV113" s="13"/>
      <c r="UW113" s="13"/>
      <c r="UX113" s="13"/>
      <c r="UY113" s="13"/>
      <c r="UZ113" s="13"/>
      <c r="VA113" s="13"/>
      <c r="VB113" s="13"/>
      <c r="VC113" s="13"/>
      <c r="VD113" s="13"/>
      <c r="VE113" s="13"/>
      <c r="VF113" s="13"/>
      <c r="VG113" s="13"/>
      <c r="VH113" s="13"/>
      <c r="VI113" s="13"/>
      <c r="VJ113" s="13"/>
      <c r="VK113" s="13"/>
      <c r="VL113" s="13"/>
      <c r="VM113" s="13"/>
      <c r="VN113" s="13"/>
      <c r="VO113" s="13"/>
      <c r="VP113" s="13"/>
      <c r="VQ113" s="13"/>
      <c r="VR113" s="13"/>
      <c r="VS113" s="13"/>
      <c r="VT113" s="13"/>
    </row>
    <row r="114" spans="1:592" s="13" customFormat="1" ht="31.5" x14ac:dyDescent="0.2">
      <c r="A114" s="10" t="s">
        <v>92</v>
      </c>
      <c r="B114" s="11">
        <v>28700210</v>
      </c>
      <c r="C114" s="11" t="s">
        <v>318</v>
      </c>
      <c r="D114" s="11">
        <v>3069495</v>
      </c>
      <c r="E114" s="225" t="s">
        <v>283</v>
      </c>
      <c r="F114" s="192" t="s">
        <v>278</v>
      </c>
      <c r="G114" s="201">
        <f>IFERROR(VLOOKUP(D114,List1!$A$5:$B$227,2,FALSE),"0")</f>
        <v>2683000</v>
      </c>
      <c r="H114" s="41" t="str">
        <f>IFERROR(VLOOKUP(D114,List1!$D$5:$E$41,2,FALSE),"0")</f>
        <v>0</v>
      </c>
      <c r="I114" s="41">
        <f>IFERROR(VLOOKUP(D114,List1!$G$5:$H$227,2,FALSE),"0")</f>
        <v>594464</v>
      </c>
      <c r="J114" s="40">
        <f t="shared" si="10"/>
        <v>3277464</v>
      </c>
      <c r="K114" s="41">
        <f>IFERROR(VLOOKUP(D114,List1!$J$5:$K$227,2,FALSE),"0")</f>
        <v>128000</v>
      </c>
      <c r="L114" s="41">
        <f>IFERROR(VLOOKUP(D114,List1!$M$5:$N$112,2,FALSE),"0")</f>
        <v>54000</v>
      </c>
      <c r="M114" s="43">
        <v>0</v>
      </c>
      <c r="N114" s="80">
        <f>VLOOKUP($D$5:$D$251,List2!$A$2:$B$241,2,FALSE)</f>
        <v>0</v>
      </c>
      <c r="O114" s="80">
        <f>IFERROR(VLOOKUP($D$5:$D$260,List1!$Y$5:$Z$244,2,FALSE),0)</f>
        <v>0</v>
      </c>
      <c r="P114" s="202">
        <f>IFERROR(VLOOKUP($D$5:$D$260,List1!$AB$5:$AC$244,2,FALSE),0)</f>
        <v>0</v>
      </c>
      <c r="Q114" s="201">
        <f>IFERROR(VLOOKUP($D$5:$D$260,List1!$S$5:$T$231,2,FALSE),0)</f>
        <v>2645254</v>
      </c>
      <c r="R114" s="41">
        <v>0</v>
      </c>
      <c r="S114" s="41">
        <f>IFERROR(VLOOKUP($D$5:$D$260,List1!$AE$5:$AF$231,2,FALSE),0)</f>
        <v>798746</v>
      </c>
      <c r="T114" s="41">
        <f t="shared" si="11"/>
        <v>3444000</v>
      </c>
      <c r="U114" s="41">
        <f>IFERROR(VLOOKUP(D114,List1!$P$5:$Q$110,2,FALSE),"0")</f>
        <v>348000</v>
      </c>
      <c r="V114" s="41">
        <v>0</v>
      </c>
      <c r="W114" s="248">
        <v>0</v>
      </c>
      <c r="X114" s="211">
        <f t="shared" si="12"/>
        <v>3792000</v>
      </c>
      <c r="Y114" s="219"/>
      <c r="Z114" s="80">
        <f>IFERROR(VLOOKUP($D$5:$D$260,#REF!,3,FALSE),0)</f>
        <v>0</v>
      </c>
      <c r="AA114" s="80">
        <f>IFERROR(VLOOKUP($D$5:$D$260,#REF!,3,FALSE),0)</f>
        <v>0</v>
      </c>
      <c r="AB114" s="243">
        <v>0</v>
      </c>
      <c r="AC114" s="202">
        <f t="shared" si="13"/>
        <v>0</v>
      </c>
      <c r="AD114" s="259">
        <f t="shared" si="14"/>
        <v>-348000</v>
      </c>
      <c r="AE114" s="260">
        <f t="shared" si="15"/>
        <v>-1</v>
      </c>
      <c r="AF114" s="260">
        <f t="shared" si="16"/>
        <v>-1</v>
      </c>
      <c r="AG114" s="260">
        <f t="shared" si="17"/>
        <v>-1</v>
      </c>
    </row>
    <row r="115" spans="1:592" s="13" customFormat="1" ht="31.5" x14ac:dyDescent="0.2">
      <c r="A115" s="10" t="s">
        <v>92</v>
      </c>
      <c r="B115" s="11">
        <v>28700210</v>
      </c>
      <c r="C115" s="11" t="s">
        <v>318</v>
      </c>
      <c r="D115" s="11">
        <v>4343228</v>
      </c>
      <c r="E115" s="225" t="s">
        <v>283</v>
      </c>
      <c r="F115" s="192" t="s">
        <v>294</v>
      </c>
      <c r="G115" s="201">
        <f>IFERROR(VLOOKUP(D115,List1!$A$5:$B$227,2,FALSE),"0")</f>
        <v>4562000</v>
      </c>
      <c r="H115" s="41" t="str">
        <f>IFERROR(VLOOKUP(D115,List1!$D$5:$E$41,2,FALSE),"0")</f>
        <v>0</v>
      </c>
      <c r="I115" s="41">
        <f>IFERROR(VLOOKUP(D115,List1!$G$5:$H$227,2,FALSE),"0")</f>
        <v>369000</v>
      </c>
      <c r="J115" s="40">
        <f t="shared" si="10"/>
        <v>4931000</v>
      </c>
      <c r="K115" s="41">
        <f>IFERROR(VLOOKUP(D115,List1!$J$5:$K$227,2,FALSE),"0")</f>
        <v>263000</v>
      </c>
      <c r="L115" s="41" t="str">
        <f>IFERROR(VLOOKUP(D115,List1!$M$5:$N$112,2,FALSE),"0")</f>
        <v>0</v>
      </c>
      <c r="M115" s="43">
        <v>0</v>
      </c>
      <c r="N115" s="80">
        <f>VLOOKUP($D$5:$D$251,List2!$A$2:$B$241,2,FALSE)</f>
        <v>229289</v>
      </c>
      <c r="O115" s="80">
        <f>IFERROR(VLOOKUP($D$5:$D$260,List1!$Y$5:$Z$244,2,FALSE),0)</f>
        <v>0</v>
      </c>
      <c r="P115" s="202">
        <f>IFERROR(VLOOKUP($D$5:$D$260,List1!$AB$5:$AC$244,2,FALSE),0)</f>
        <v>0</v>
      </c>
      <c r="Q115" s="201">
        <f>IFERROR(VLOOKUP($D$5:$D$260,List1!$S$5:$T$231,2,FALSE),0)</f>
        <v>4018574</v>
      </c>
      <c r="R115" s="41">
        <v>0</v>
      </c>
      <c r="S115" s="41">
        <f>IFERROR(VLOOKUP($D$5:$D$260,List1!$AE$5:$AF$231,2,FALSE),0)</f>
        <v>800000</v>
      </c>
      <c r="T115" s="41">
        <f t="shared" si="11"/>
        <v>4818574</v>
      </c>
      <c r="U115" s="41">
        <f>IFERROR(VLOOKUP(D115,List1!$P$5:$Q$110,2,FALSE),"0")</f>
        <v>490000</v>
      </c>
      <c r="V115" s="41">
        <v>0</v>
      </c>
      <c r="W115" s="248">
        <v>0</v>
      </c>
      <c r="X115" s="211">
        <f t="shared" si="12"/>
        <v>5308574</v>
      </c>
      <c r="Y115" s="219"/>
      <c r="Z115" s="80">
        <f>IFERROR(VLOOKUP($D$5:$D$260,#REF!,3,FALSE),0)</f>
        <v>0</v>
      </c>
      <c r="AA115" s="80">
        <f>IFERROR(VLOOKUP($D$5:$D$260,#REF!,3,FALSE),0)</f>
        <v>0</v>
      </c>
      <c r="AB115" s="243">
        <v>0</v>
      </c>
      <c r="AC115" s="202">
        <f t="shared" si="13"/>
        <v>0</v>
      </c>
      <c r="AD115" s="259">
        <f t="shared" si="14"/>
        <v>-490000</v>
      </c>
      <c r="AE115" s="260">
        <f t="shared" si="15"/>
        <v>-1</v>
      </c>
      <c r="AF115" s="260">
        <f t="shared" si="16"/>
        <v>-1</v>
      </c>
      <c r="AG115" s="260">
        <f t="shared" si="17"/>
        <v>-1</v>
      </c>
    </row>
    <row r="116" spans="1:592" s="13" customFormat="1" ht="21" x14ac:dyDescent="0.2">
      <c r="A116" s="10" t="s">
        <v>367</v>
      </c>
      <c r="B116" s="11">
        <v>70932522</v>
      </c>
      <c r="C116" s="11" t="s">
        <v>296</v>
      </c>
      <c r="D116" s="11">
        <v>6492623</v>
      </c>
      <c r="E116" s="225" t="s">
        <v>321</v>
      </c>
      <c r="F116" s="192" t="s">
        <v>294</v>
      </c>
      <c r="G116" s="203">
        <f>IFERROR(VLOOKUP(D116,List1!$A$5:$B$227,2,FALSE),"0")-1681000</f>
        <v>0</v>
      </c>
      <c r="H116" s="41" t="str">
        <f>IFERROR(VLOOKUP(D116,List1!$D$5:$E$41,2,FALSE),"0")</f>
        <v>0</v>
      </c>
      <c r="I116" s="41">
        <f>IFERROR(VLOOKUP(D116,List1!$G$5:$H$227,2,FALSE),"0")</f>
        <v>0</v>
      </c>
      <c r="J116" s="40">
        <f t="shared" si="10"/>
        <v>0</v>
      </c>
      <c r="K116" s="41" t="str">
        <f>IFERROR(VLOOKUP(D116,List1!$J$5:$K$227,2,FALSE),"0")</f>
        <v>0</v>
      </c>
      <c r="L116" s="41" t="str">
        <f>IFERROR(VLOOKUP(D116,List1!$M$5:$N$112,2,FALSE),"0")</f>
        <v>0</v>
      </c>
      <c r="M116" s="43">
        <v>4615548</v>
      </c>
      <c r="N116" s="80">
        <f>VLOOKUP($D$5:$D$251,List2!$A$2:$B$241,2,FALSE)</f>
        <v>0</v>
      </c>
      <c r="O116" s="80">
        <f>IFERROR(VLOOKUP($D$5:$D$260,List1!$Y$5:$Z$244,2,FALSE),0)</f>
        <v>88222.1</v>
      </c>
      <c r="P116" s="202">
        <f>IFERROR(VLOOKUP($D$5:$D$260,List1!$AB$5:$AC$244,2,FALSE),0)</f>
        <v>0</v>
      </c>
      <c r="Q116" s="201">
        <f>IFERROR(VLOOKUP($D$5:$D$260,List1!$S$5:$T$231,2,FALSE),0)</f>
        <v>2577049</v>
      </c>
      <c r="R116" s="41">
        <v>0</v>
      </c>
      <c r="S116" s="41">
        <f>IFERROR(VLOOKUP($D$5:$D$260,List1!$AE$5:$AF$231,2,FALSE),0)</f>
        <v>500000</v>
      </c>
      <c r="T116" s="41">
        <f t="shared" si="11"/>
        <v>3077049</v>
      </c>
      <c r="U116" s="41" t="str">
        <f>IFERROR(VLOOKUP(D116,List1!$P$5:$Q$110,2,FALSE),"0")</f>
        <v>0</v>
      </c>
      <c r="V116" s="41">
        <v>0</v>
      </c>
      <c r="W116" s="248">
        <v>0</v>
      </c>
      <c r="X116" s="211">
        <f t="shared" si="12"/>
        <v>3077049</v>
      </c>
      <c r="Y116" s="219"/>
      <c r="Z116" s="80">
        <f>IFERROR(VLOOKUP($D$5:$D$260,#REF!,3,FALSE),0)</f>
        <v>0</v>
      </c>
      <c r="AA116" s="80">
        <f>IFERROR(VLOOKUP($D$5:$D$260,#REF!,3,FALSE),0)</f>
        <v>0</v>
      </c>
      <c r="AB116" s="243">
        <v>0</v>
      </c>
      <c r="AC116" s="202">
        <f t="shared" si="13"/>
        <v>0</v>
      </c>
      <c r="AD116" s="259">
        <f t="shared" si="14"/>
        <v>0</v>
      </c>
      <c r="AE116" s="260">
        <f t="shared" si="15"/>
        <v>0</v>
      </c>
      <c r="AF116" s="260">
        <f t="shared" si="16"/>
        <v>0</v>
      </c>
      <c r="AG116" s="260">
        <f t="shared" si="17"/>
        <v>0</v>
      </c>
    </row>
    <row r="117" spans="1:592" s="13" customFormat="1" ht="21" x14ac:dyDescent="0.2">
      <c r="A117" s="10" t="s">
        <v>367</v>
      </c>
      <c r="B117" s="11">
        <v>70932522</v>
      </c>
      <c r="C117" s="11" t="s">
        <v>296</v>
      </c>
      <c r="D117" s="11">
        <v>1660265</v>
      </c>
      <c r="E117" s="225" t="s">
        <v>283</v>
      </c>
      <c r="F117" s="192" t="s">
        <v>278</v>
      </c>
      <c r="G117" s="201">
        <f>IFERROR(VLOOKUP(D117,List1!$A$5:$B$227,2,FALSE),"0")</f>
        <v>2092000</v>
      </c>
      <c r="H117" s="41" t="str">
        <f>IFERROR(VLOOKUP(D117,List1!$D$5:$E$41,2,FALSE),"0")</f>
        <v>0</v>
      </c>
      <c r="I117" s="41" t="str">
        <f>IFERROR(VLOOKUP(D117,List1!$G$5:$H$227,2,FALSE),"0")</f>
        <v>0</v>
      </c>
      <c r="J117" s="40">
        <f t="shared" si="10"/>
        <v>2092000</v>
      </c>
      <c r="K117" s="41" t="str">
        <f>IFERROR(VLOOKUP(D117,List1!$J$5:$K$227,2,FALSE),"0")</f>
        <v>0</v>
      </c>
      <c r="L117" s="41" t="str">
        <f>IFERROR(VLOOKUP(D117,List1!$M$5:$N$112,2,FALSE),"0")</f>
        <v>0</v>
      </c>
      <c r="M117" s="43">
        <v>0</v>
      </c>
      <c r="N117" s="80">
        <f>VLOOKUP($D$5:$D$251,List2!$A$2:$B$241,2,FALSE)</f>
        <v>0</v>
      </c>
      <c r="O117" s="80">
        <f>IFERROR(VLOOKUP($D$5:$D$260,List1!$Y$5:$Z$244,2,FALSE),0)</f>
        <v>905411.17</v>
      </c>
      <c r="P117" s="202">
        <f>IFERROR(VLOOKUP($D$5:$D$260,List1!$AB$5:$AC$244,2,FALSE),0)</f>
        <v>0</v>
      </c>
      <c r="Q117" s="201">
        <f>IFERROR(VLOOKUP($D$5:$D$260,List1!$S$5:$T$231,2,FALSE),0)</f>
        <v>1868420</v>
      </c>
      <c r="R117" s="41">
        <v>0</v>
      </c>
      <c r="S117" s="41">
        <f>IFERROR(VLOOKUP($D$5:$D$260,List1!$AE$5:$AF$231,2,FALSE),0)</f>
        <v>387688</v>
      </c>
      <c r="T117" s="41">
        <f t="shared" si="11"/>
        <v>2256108</v>
      </c>
      <c r="U117" s="41" t="str">
        <f>IFERROR(VLOOKUP(D117,List1!$P$5:$Q$110,2,FALSE),"0")</f>
        <v>0</v>
      </c>
      <c r="V117" s="41">
        <v>0</v>
      </c>
      <c r="W117" s="248">
        <v>0</v>
      </c>
      <c r="X117" s="211">
        <f t="shared" si="12"/>
        <v>2256108</v>
      </c>
      <c r="Y117" s="219"/>
      <c r="Z117" s="80">
        <f>IFERROR(VLOOKUP($D$5:$D$260,#REF!,3,FALSE),0)</f>
        <v>0</v>
      </c>
      <c r="AA117" s="80">
        <f>IFERROR(VLOOKUP($D$5:$D$260,#REF!,3,FALSE),0)</f>
        <v>0</v>
      </c>
      <c r="AB117" s="243">
        <v>0</v>
      </c>
      <c r="AC117" s="202">
        <f t="shared" si="13"/>
        <v>0</v>
      </c>
      <c r="AD117" s="259">
        <f t="shared" si="14"/>
        <v>0</v>
      </c>
      <c r="AE117" s="260">
        <f t="shared" si="15"/>
        <v>0</v>
      </c>
      <c r="AF117" s="260">
        <f t="shared" si="16"/>
        <v>0</v>
      </c>
      <c r="AG117" s="260">
        <f t="shared" si="17"/>
        <v>0</v>
      </c>
    </row>
    <row r="118" spans="1:592" s="13" customFormat="1" ht="21" x14ac:dyDescent="0.2">
      <c r="A118" s="10" t="s">
        <v>367</v>
      </c>
      <c r="B118" s="11">
        <v>70932522</v>
      </c>
      <c r="C118" s="11" t="s">
        <v>296</v>
      </c>
      <c r="D118" s="11">
        <v>9076392</v>
      </c>
      <c r="E118" s="225" t="s">
        <v>297</v>
      </c>
      <c r="F118" s="192" t="s">
        <v>269</v>
      </c>
      <c r="G118" s="201">
        <f>IFERROR(VLOOKUP(D118,List1!$A$5:$B$227,2,FALSE),"0")</f>
        <v>7182000</v>
      </c>
      <c r="H118" s="41" t="str">
        <f>IFERROR(VLOOKUP(D118,List1!$D$5:$E$41,2,FALSE),"0")</f>
        <v>0</v>
      </c>
      <c r="I118" s="41">
        <f>IFERROR(VLOOKUP(D118,List1!$G$5:$H$227,2,FALSE),"0")</f>
        <v>548400</v>
      </c>
      <c r="J118" s="40">
        <f t="shared" si="10"/>
        <v>7730400</v>
      </c>
      <c r="K118" s="41" t="str">
        <f>IFERROR(VLOOKUP(D118,List1!$J$5:$K$227,2,FALSE),"0")</f>
        <v>0</v>
      </c>
      <c r="L118" s="41" t="str">
        <f>IFERROR(VLOOKUP(D118,List1!$M$5:$N$112,2,FALSE),"0")</f>
        <v>0</v>
      </c>
      <c r="M118" s="43">
        <v>0</v>
      </c>
      <c r="N118" s="80">
        <f>VLOOKUP($D$5:$D$251,List2!$A$2:$B$241,2,FALSE)</f>
        <v>0</v>
      </c>
      <c r="O118" s="80">
        <f>IFERROR(VLOOKUP($D$5:$D$260,List1!$Y$5:$Z$244,2,FALSE),0)</f>
        <v>3010220.77</v>
      </c>
      <c r="P118" s="202">
        <f>IFERROR(VLOOKUP($D$5:$D$260,List1!$AB$5:$AC$244,2,FALSE),0)</f>
        <v>0</v>
      </c>
      <c r="Q118" s="201">
        <f>IFERROR(VLOOKUP($D$5:$D$260,List1!$S$5:$T$231,2,FALSE),0)</f>
        <v>7423589</v>
      </c>
      <c r="R118" s="41">
        <v>0</v>
      </c>
      <c r="S118" s="41">
        <f>IFERROR(VLOOKUP($D$5:$D$260,List1!$AE$5:$AF$231,2,FALSE),0)</f>
        <v>1500000</v>
      </c>
      <c r="T118" s="41">
        <f t="shared" si="11"/>
        <v>8923589</v>
      </c>
      <c r="U118" s="41" t="str">
        <f>IFERROR(VLOOKUP(D118,List1!$P$5:$Q$110,2,FALSE),"0")</f>
        <v>0</v>
      </c>
      <c r="V118" s="41">
        <v>0</v>
      </c>
      <c r="W118" s="248">
        <v>0</v>
      </c>
      <c r="X118" s="211">
        <f t="shared" si="12"/>
        <v>8923589</v>
      </c>
      <c r="Y118" s="219"/>
      <c r="Z118" s="80">
        <f>IFERROR(VLOOKUP($D$5:$D$260,#REF!,3,FALSE),0)</f>
        <v>0</v>
      </c>
      <c r="AA118" s="80">
        <f>IFERROR(VLOOKUP($D$5:$D$260,#REF!,3,FALSE),0)</f>
        <v>0</v>
      </c>
      <c r="AB118" s="243">
        <v>0</v>
      </c>
      <c r="AC118" s="202">
        <f t="shared" si="13"/>
        <v>0</v>
      </c>
      <c r="AD118" s="259">
        <f t="shared" si="14"/>
        <v>0</v>
      </c>
      <c r="AE118" s="260">
        <f t="shared" si="15"/>
        <v>0</v>
      </c>
      <c r="AF118" s="260">
        <f t="shared" si="16"/>
        <v>0</v>
      </c>
      <c r="AG118" s="260">
        <f t="shared" si="17"/>
        <v>0</v>
      </c>
    </row>
    <row r="119" spans="1:592" s="21" customFormat="1" ht="21" x14ac:dyDescent="0.2">
      <c r="A119" s="10" t="s">
        <v>367</v>
      </c>
      <c r="B119" s="11">
        <v>70932522</v>
      </c>
      <c r="C119" s="11" t="s">
        <v>296</v>
      </c>
      <c r="D119" s="11">
        <v>8900016</v>
      </c>
      <c r="E119" s="225" t="s">
        <v>298</v>
      </c>
      <c r="F119" s="192" t="s">
        <v>278</v>
      </c>
      <c r="G119" s="201">
        <f>IFERROR(VLOOKUP(D119,List1!$A$5:$B$227,2,FALSE),"0")</f>
        <v>32290000</v>
      </c>
      <c r="H119" s="41" t="str">
        <f>IFERROR(VLOOKUP(D119,List1!$D$5:$E$41,2,FALSE),"0")</f>
        <v>0</v>
      </c>
      <c r="I119" s="41">
        <f>IFERROR(VLOOKUP(D119,List1!$G$5:$H$227,2,FALSE),"0")</f>
        <v>1469000</v>
      </c>
      <c r="J119" s="40">
        <f t="shared" si="10"/>
        <v>33759000</v>
      </c>
      <c r="K119" s="41" t="str">
        <f>IFERROR(VLOOKUP(D119,List1!$J$5:$K$227,2,FALSE),"0")</f>
        <v>0</v>
      </c>
      <c r="L119" s="41" t="str">
        <f>IFERROR(VLOOKUP(D119,List1!$M$5:$N$112,2,FALSE),"0")</f>
        <v>0</v>
      </c>
      <c r="M119" s="43">
        <v>0</v>
      </c>
      <c r="N119" s="80">
        <f>VLOOKUP($D$5:$D$251,List2!$A$2:$B$241,2,FALSE)</f>
        <v>0</v>
      </c>
      <c r="O119" s="80">
        <f>IFERROR(VLOOKUP($D$5:$D$260,List1!$Y$5:$Z$244,2,FALSE),0)</f>
        <v>7845273.96</v>
      </c>
      <c r="P119" s="202">
        <f>IFERROR(VLOOKUP($D$5:$D$260,List1!$AB$5:$AC$244,2,FALSE),0)</f>
        <v>0</v>
      </c>
      <c r="Q119" s="201">
        <f>IFERROR(VLOOKUP($D$5:$D$260,List1!$S$5:$T$231,2,FALSE),0)</f>
        <v>31360356</v>
      </c>
      <c r="R119" s="41">
        <v>0</v>
      </c>
      <c r="S119" s="41">
        <f>IFERROR(VLOOKUP($D$5:$D$260,List1!$AE$5:$AF$231,2,FALSE),0)</f>
        <v>193844</v>
      </c>
      <c r="T119" s="41">
        <f t="shared" si="11"/>
        <v>31554200</v>
      </c>
      <c r="U119" s="41" t="str">
        <f>IFERROR(VLOOKUP(D119,List1!$P$5:$Q$110,2,FALSE),"0")</f>
        <v>0</v>
      </c>
      <c r="V119" s="41">
        <v>0</v>
      </c>
      <c r="W119" s="248">
        <v>0</v>
      </c>
      <c r="X119" s="211">
        <f t="shared" si="12"/>
        <v>31554200</v>
      </c>
      <c r="Y119" s="219"/>
      <c r="Z119" s="80">
        <f>IFERROR(VLOOKUP($D$5:$D$260,#REF!,3,FALSE),0)</f>
        <v>0</v>
      </c>
      <c r="AA119" s="80">
        <f>IFERROR(VLOOKUP($D$5:$D$260,#REF!,3,FALSE),0)</f>
        <v>0</v>
      </c>
      <c r="AB119" s="243">
        <v>0</v>
      </c>
      <c r="AC119" s="202">
        <f t="shared" si="13"/>
        <v>0</v>
      </c>
      <c r="AD119" s="259">
        <f t="shared" si="14"/>
        <v>0</v>
      </c>
      <c r="AE119" s="260">
        <f t="shared" si="15"/>
        <v>0</v>
      </c>
      <c r="AF119" s="260">
        <f t="shared" si="16"/>
        <v>0</v>
      </c>
      <c r="AG119" s="260">
        <f t="shared" si="17"/>
        <v>0</v>
      </c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13"/>
      <c r="IN119" s="13"/>
      <c r="IO119" s="13"/>
      <c r="IP119" s="13"/>
      <c r="IQ119" s="13"/>
      <c r="IR119" s="13"/>
      <c r="IS119" s="13"/>
      <c r="IT119" s="13"/>
      <c r="IU119" s="13"/>
      <c r="IV119" s="13"/>
      <c r="IW119" s="13"/>
      <c r="IX119" s="13"/>
      <c r="IY119" s="13"/>
      <c r="IZ119" s="13"/>
      <c r="JA119" s="13"/>
      <c r="JB119" s="13"/>
      <c r="JC119" s="13"/>
      <c r="JD119" s="13"/>
      <c r="JE119" s="13"/>
      <c r="JF119" s="13"/>
      <c r="JG119" s="13"/>
      <c r="JH119" s="13"/>
      <c r="JI119" s="13"/>
      <c r="JJ119" s="13"/>
      <c r="JK119" s="13"/>
      <c r="JL119" s="13"/>
      <c r="JM119" s="13"/>
      <c r="JN119" s="13"/>
      <c r="JO119" s="13"/>
      <c r="JP119" s="13"/>
      <c r="JQ119" s="13"/>
      <c r="JR119" s="13"/>
      <c r="JS119" s="13"/>
      <c r="JT119" s="13"/>
      <c r="JU119" s="13"/>
      <c r="JV119" s="13"/>
      <c r="JW119" s="13"/>
      <c r="JX119" s="13"/>
      <c r="JY119" s="13"/>
      <c r="JZ119" s="13"/>
      <c r="KA119" s="13"/>
      <c r="KB119" s="13"/>
      <c r="KC119" s="13"/>
      <c r="KD119" s="13"/>
      <c r="KE119" s="13"/>
      <c r="KF119" s="13"/>
      <c r="KG119" s="13"/>
      <c r="KH119" s="13"/>
      <c r="KI119" s="13"/>
      <c r="KJ119" s="13"/>
      <c r="KK119" s="13"/>
      <c r="KL119" s="13"/>
      <c r="KM119" s="13"/>
      <c r="KN119" s="13"/>
      <c r="KO119" s="13"/>
      <c r="KP119" s="13"/>
      <c r="KQ119" s="13"/>
      <c r="KR119" s="13"/>
      <c r="KS119" s="13"/>
      <c r="KT119" s="13"/>
      <c r="KU119" s="13"/>
      <c r="KV119" s="13"/>
      <c r="KW119" s="13"/>
      <c r="KX119" s="13"/>
      <c r="KY119" s="13"/>
      <c r="KZ119" s="13"/>
      <c r="LA119" s="13"/>
      <c r="LB119" s="13"/>
      <c r="LC119" s="13"/>
      <c r="LD119" s="13"/>
      <c r="LE119" s="13"/>
      <c r="LF119" s="13"/>
      <c r="LG119" s="13"/>
      <c r="LH119" s="13"/>
      <c r="LI119" s="13"/>
      <c r="LJ119" s="13"/>
      <c r="LK119" s="13"/>
      <c r="LL119" s="13"/>
      <c r="LM119" s="13"/>
      <c r="LN119" s="13"/>
      <c r="LO119" s="13"/>
      <c r="LP119" s="13"/>
      <c r="LQ119" s="13"/>
      <c r="LR119" s="13"/>
      <c r="LS119" s="13"/>
      <c r="LT119" s="13"/>
      <c r="LU119" s="13"/>
      <c r="LV119" s="13"/>
      <c r="LW119" s="13"/>
      <c r="LX119" s="13"/>
      <c r="LY119" s="13"/>
      <c r="LZ119" s="13"/>
      <c r="MA119" s="13"/>
      <c r="MB119" s="13"/>
      <c r="MC119" s="13"/>
      <c r="MD119" s="13"/>
      <c r="ME119" s="13"/>
      <c r="MF119" s="13"/>
      <c r="MG119" s="13"/>
      <c r="MH119" s="13"/>
      <c r="MI119" s="13"/>
      <c r="MJ119" s="13"/>
      <c r="MK119" s="13"/>
      <c r="ML119" s="13"/>
      <c r="MM119" s="13"/>
      <c r="MN119" s="13"/>
      <c r="MO119" s="13"/>
      <c r="MP119" s="13"/>
      <c r="MQ119" s="13"/>
      <c r="MR119" s="13"/>
      <c r="MS119" s="13"/>
      <c r="MT119" s="13"/>
      <c r="MU119" s="13"/>
      <c r="MV119" s="13"/>
      <c r="MW119" s="13"/>
      <c r="MX119" s="13"/>
      <c r="MY119" s="13"/>
      <c r="MZ119" s="13"/>
      <c r="NA119" s="13"/>
      <c r="NB119" s="13"/>
      <c r="NC119" s="13"/>
      <c r="ND119" s="13"/>
      <c r="NE119" s="13"/>
      <c r="NF119" s="13"/>
      <c r="NG119" s="13"/>
      <c r="NH119" s="13"/>
      <c r="NI119" s="13"/>
      <c r="NJ119" s="13"/>
      <c r="NK119" s="13"/>
      <c r="NL119" s="13"/>
      <c r="NM119" s="13"/>
      <c r="NN119" s="13"/>
      <c r="NO119" s="13"/>
      <c r="NP119" s="13"/>
      <c r="NQ119" s="13"/>
      <c r="NR119" s="13"/>
      <c r="NS119" s="13"/>
      <c r="NT119" s="13"/>
      <c r="NU119" s="13"/>
      <c r="NV119" s="13"/>
      <c r="NW119" s="13"/>
      <c r="NX119" s="13"/>
      <c r="NY119" s="13"/>
      <c r="NZ119" s="13"/>
      <c r="OA119" s="13"/>
      <c r="OB119" s="13"/>
      <c r="OC119" s="13"/>
      <c r="OD119" s="13"/>
      <c r="OE119" s="13"/>
      <c r="OF119" s="13"/>
      <c r="OG119" s="13"/>
      <c r="OH119" s="13"/>
      <c r="OI119" s="13"/>
      <c r="OJ119" s="13"/>
      <c r="OK119" s="13"/>
      <c r="OL119" s="13"/>
      <c r="OM119" s="13"/>
      <c r="ON119" s="13"/>
      <c r="OO119" s="13"/>
      <c r="OP119" s="13"/>
      <c r="OQ119" s="13"/>
      <c r="OR119" s="13"/>
      <c r="OS119" s="13"/>
      <c r="OT119" s="13"/>
      <c r="OU119" s="13"/>
      <c r="OV119" s="13"/>
      <c r="OW119" s="13"/>
      <c r="OX119" s="13"/>
      <c r="OY119" s="13"/>
      <c r="OZ119" s="13"/>
      <c r="PA119" s="13"/>
      <c r="PB119" s="13"/>
      <c r="PC119" s="13"/>
      <c r="PD119" s="13"/>
      <c r="PE119" s="13"/>
      <c r="PF119" s="13"/>
      <c r="PG119" s="13"/>
      <c r="PH119" s="13"/>
      <c r="PI119" s="13"/>
      <c r="PJ119" s="13"/>
      <c r="PK119" s="13"/>
      <c r="PL119" s="13"/>
      <c r="PM119" s="13"/>
      <c r="PN119" s="13"/>
      <c r="PO119" s="13"/>
      <c r="PP119" s="13"/>
      <c r="PQ119" s="13"/>
      <c r="PR119" s="13"/>
      <c r="PS119" s="13"/>
      <c r="PT119" s="13"/>
      <c r="PU119" s="13"/>
      <c r="PV119" s="13"/>
      <c r="PW119" s="13"/>
      <c r="PX119" s="13"/>
      <c r="PY119" s="13"/>
      <c r="PZ119" s="13"/>
      <c r="QA119" s="13"/>
      <c r="QB119" s="13"/>
      <c r="QC119" s="13"/>
      <c r="QD119" s="13"/>
      <c r="QE119" s="13"/>
      <c r="QF119" s="13"/>
      <c r="QG119" s="13"/>
      <c r="QH119" s="13"/>
      <c r="QI119" s="13"/>
      <c r="QJ119" s="13"/>
      <c r="QK119" s="13"/>
      <c r="QL119" s="13"/>
      <c r="QM119" s="13"/>
      <c r="QN119" s="13"/>
      <c r="QO119" s="13"/>
      <c r="QP119" s="13"/>
      <c r="QQ119" s="13"/>
      <c r="QR119" s="13"/>
      <c r="QS119" s="13"/>
      <c r="QT119" s="13"/>
      <c r="QU119" s="13"/>
      <c r="QV119" s="13"/>
      <c r="QW119" s="13"/>
      <c r="QX119" s="13"/>
      <c r="QY119" s="13"/>
      <c r="QZ119" s="13"/>
      <c r="RA119" s="13"/>
      <c r="RB119" s="13"/>
      <c r="RC119" s="13"/>
      <c r="RD119" s="13"/>
      <c r="RE119" s="13"/>
      <c r="RF119" s="13"/>
      <c r="RG119" s="13"/>
      <c r="RH119" s="13"/>
      <c r="RI119" s="13"/>
      <c r="RJ119" s="13"/>
      <c r="RK119" s="13"/>
      <c r="RL119" s="13"/>
      <c r="RM119" s="13"/>
      <c r="RN119" s="13"/>
      <c r="RO119" s="13"/>
      <c r="RP119" s="13"/>
      <c r="RQ119" s="13"/>
      <c r="RR119" s="13"/>
      <c r="RS119" s="13"/>
      <c r="RT119" s="13"/>
      <c r="RU119" s="13"/>
      <c r="RV119" s="13"/>
      <c r="RW119" s="13"/>
      <c r="RX119" s="13"/>
      <c r="RY119" s="13"/>
      <c r="RZ119" s="13"/>
      <c r="SA119" s="13"/>
      <c r="SB119" s="13"/>
      <c r="SC119" s="13"/>
      <c r="SD119" s="13"/>
      <c r="SE119" s="13"/>
      <c r="SF119" s="13"/>
      <c r="SG119" s="13"/>
      <c r="SH119" s="13"/>
      <c r="SI119" s="13"/>
      <c r="SJ119" s="13"/>
      <c r="SK119" s="13"/>
      <c r="SL119" s="13"/>
      <c r="SM119" s="13"/>
      <c r="SN119" s="13"/>
      <c r="SO119" s="13"/>
      <c r="SP119" s="13"/>
      <c r="SQ119" s="13"/>
      <c r="SR119" s="13"/>
      <c r="SS119" s="13"/>
      <c r="ST119" s="13"/>
      <c r="SU119" s="13"/>
      <c r="SV119" s="13"/>
      <c r="SW119" s="13"/>
      <c r="SX119" s="13"/>
      <c r="SY119" s="13"/>
      <c r="SZ119" s="13"/>
      <c r="TA119" s="13"/>
      <c r="TB119" s="13"/>
      <c r="TC119" s="13"/>
      <c r="TD119" s="13"/>
      <c r="TE119" s="13"/>
      <c r="TF119" s="13"/>
      <c r="TG119" s="13"/>
      <c r="TH119" s="13"/>
      <c r="TI119" s="13"/>
      <c r="TJ119" s="13"/>
      <c r="TK119" s="13"/>
      <c r="TL119" s="13"/>
      <c r="TM119" s="13"/>
      <c r="TN119" s="13"/>
      <c r="TO119" s="13"/>
      <c r="TP119" s="13"/>
      <c r="TQ119" s="13"/>
      <c r="TR119" s="13"/>
      <c r="TS119" s="13"/>
      <c r="TT119" s="13"/>
      <c r="TU119" s="13"/>
      <c r="TV119" s="13"/>
      <c r="TW119" s="13"/>
      <c r="TX119" s="13"/>
      <c r="TY119" s="13"/>
      <c r="TZ119" s="13"/>
      <c r="UA119" s="13"/>
      <c r="UB119" s="13"/>
      <c r="UC119" s="13"/>
      <c r="UD119" s="13"/>
      <c r="UE119" s="13"/>
      <c r="UF119" s="13"/>
      <c r="UG119" s="13"/>
      <c r="UH119" s="13"/>
      <c r="UI119" s="13"/>
      <c r="UJ119" s="13"/>
      <c r="UK119" s="13"/>
      <c r="UL119" s="13"/>
      <c r="UM119" s="13"/>
      <c r="UN119" s="13"/>
      <c r="UO119" s="13"/>
      <c r="UP119" s="13"/>
      <c r="UQ119" s="13"/>
      <c r="UR119" s="13"/>
      <c r="US119" s="13"/>
      <c r="UT119" s="13"/>
      <c r="UU119" s="13"/>
      <c r="UV119" s="13"/>
      <c r="UW119" s="13"/>
      <c r="UX119" s="13"/>
      <c r="UY119" s="13"/>
      <c r="UZ119" s="13"/>
      <c r="VA119" s="13"/>
      <c r="VB119" s="13"/>
      <c r="VC119" s="13"/>
      <c r="VD119" s="13"/>
      <c r="VE119" s="13"/>
      <c r="VF119" s="13"/>
      <c r="VG119" s="13"/>
      <c r="VH119" s="13"/>
      <c r="VI119" s="13"/>
      <c r="VJ119" s="13"/>
      <c r="VK119" s="13"/>
      <c r="VL119" s="13"/>
      <c r="VM119" s="13"/>
      <c r="VN119" s="13"/>
      <c r="VO119" s="13"/>
      <c r="VP119" s="13"/>
      <c r="VQ119" s="13"/>
      <c r="VR119" s="13"/>
      <c r="VS119" s="13"/>
      <c r="VT119" s="13"/>
    </row>
    <row r="120" spans="1:592" s="13" customFormat="1" ht="21" x14ac:dyDescent="0.2">
      <c r="A120" s="10" t="s">
        <v>368</v>
      </c>
      <c r="B120" s="11">
        <v>22889159</v>
      </c>
      <c r="C120" s="11" t="s">
        <v>288</v>
      </c>
      <c r="D120" s="11">
        <v>1457407</v>
      </c>
      <c r="E120" s="228" t="s">
        <v>330</v>
      </c>
      <c r="F120" s="192" t="s">
        <v>300</v>
      </c>
      <c r="G120" s="201" t="str">
        <f>IFERROR(VLOOKUP(D120,List1!$A$5:$B$227,2,FALSE),"0")</f>
        <v>0</v>
      </c>
      <c r="H120" s="41" t="str">
        <f>IFERROR(VLOOKUP(D120,List1!$D$5:$E$41,2,FALSE),"0")</f>
        <v>0</v>
      </c>
      <c r="I120" s="41" t="str">
        <f>IFERROR(VLOOKUP(D120,List1!$G$5:$H$227,2,FALSE),"0")</f>
        <v>0</v>
      </c>
      <c r="J120" s="40">
        <f t="shared" si="10"/>
        <v>0</v>
      </c>
      <c r="K120" s="41">
        <f>IFERROR(VLOOKUP(D120,List1!$J$5:$K$227,2,FALSE),"0")</f>
        <v>43000</v>
      </c>
      <c r="L120" s="41" t="str">
        <f>IFERROR(VLOOKUP(D120,List1!$M$5:$N$112,2,FALSE),"0")</f>
        <v>0</v>
      </c>
      <c r="M120" s="43">
        <v>0</v>
      </c>
      <c r="N120" s="80">
        <v>0</v>
      </c>
      <c r="O120" s="80">
        <f>IFERROR(VLOOKUP($D$5:$D$260,List1!$Y$5:$Z$244,2,FALSE),0)</f>
        <v>0</v>
      </c>
      <c r="P120" s="202">
        <f>IFERROR(VLOOKUP($D$5:$D$260,List1!$AB$5:$AC$244,2,FALSE),0)</f>
        <v>0</v>
      </c>
      <c r="Q120" s="201">
        <f>IFERROR(VLOOKUP($D$5:$D$260,List1!$S$5:$T$231,2,FALSE),0)</f>
        <v>0</v>
      </c>
      <c r="R120" s="41">
        <v>0</v>
      </c>
      <c r="S120" s="41">
        <f>IFERROR(VLOOKUP($D$5:$D$260,List1!$AE$5:$AF$231,2,FALSE),0)</f>
        <v>0</v>
      </c>
      <c r="T120" s="41">
        <f t="shared" si="11"/>
        <v>0</v>
      </c>
      <c r="U120" s="41" t="str">
        <f>IFERROR(VLOOKUP(D120,List1!$P$5:$Q$110,2,FALSE),"0")</f>
        <v>0</v>
      </c>
      <c r="V120" s="41">
        <v>0</v>
      </c>
      <c r="W120" s="248">
        <v>0</v>
      </c>
      <c r="X120" s="211">
        <f t="shared" si="12"/>
        <v>0</v>
      </c>
      <c r="Y120" s="219"/>
      <c r="Z120" s="80">
        <f>IFERROR(VLOOKUP($D$5:$D$260,#REF!,3,FALSE),0)</f>
        <v>0</v>
      </c>
      <c r="AA120" s="80">
        <f>IFERROR(VLOOKUP($D$5:$D$260,#REF!,3,FALSE),0)</f>
        <v>0</v>
      </c>
      <c r="AB120" s="243">
        <v>0</v>
      </c>
      <c r="AC120" s="202">
        <f t="shared" si="13"/>
        <v>0</v>
      </c>
      <c r="AD120" s="259">
        <f t="shared" si="14"/>
        <v>0</v>
      </c>
      <c r="AE120" s="260">
        <f t="shared" si="15"/>
        <v>0</v>
      </c>
      <c r="AF120" s="260">
        <f t="shared" si="16"/>
        <v>0</v>
      </c>
      <c r="AG120" s="260">
        <f t="shared" si="17"/>
        <v>0</v>
      </c>
    </row>
    <row r="121" spans="1:592" s="13" customFormat="1" x14ac:dyDescent="0.2">
      <c r="A121" s="10" t="s">
        <v>368</v>
      </c>
      <c r="B121" s="11">
        <v>22889159</v>
      </c>
      <c r="C121" s="11" t="s">
        <v>288</v>
      </c>
      <c r="D121" s="11">
        <v>7555345</v>
      </c>
      <c r="E121" s="228" t="s">
        <v>331</v>
      </c>
      <c r="F121" s="192" t="s">
        <v>294</v>
      </c>
      <c r="G121" s="201">
        <f>IFERROR(VLOOKUP(D121,List1!$A$5:$B$227,2,FALSE),"0")</f>
        <v>551000</v>
      </c>
      <c r="H121" s="41" t="str">
        <f>IFERROR(VLOOKUP(D121,List1!$D$5:$E$41,2,FALSE),"0")</f>
        <v>0</v>
      </c>
      <c r="I121" s="41">
        <f>IFERROR(VLOOKUP(D121,List1!$G$5:$H$227,2,FALSE),"0")</f>
        <v>120175</v>
      </c>
      <c r="J121" s="40">
        <f t="shared" si="10"/>
        <v>671175</v>
      </c>
      <c r="K121" s="41">
        <f>IFERROR(VLOOKUP(D121,List1!$J$5:$K$227,2,FALSE),"0")</f>
        <v>27000</v>
      </c>
      <c r="L121" s="41">
        <f>IFERROR(VLOOKUP(D121,List1!$M$5:$N$112,2,FALSE),"0")</f>
        <v>11000</v>
      </c>
      <c r="M121" s="43">
        <v>0</v>
      </c>
      <c r="N121" s="80">
        <f>VLOOKUP($D$5:$D$251,List2!$A$2:$B$241,2,FALSE)</f>
        <v>0</v>
      </c>
      <c r="O121" s="80">
        <f>IFERROR(VLOOKUP($D$5:$D$260,List1!$Y$5:$Z$244,2,FALSE),0)</f>
        <v>0</v>
      </c>
      <c r="P121" s="202">
        <f>IFERROR(VLOOKUP($D$5:$D$260,List1!$AB$5:$AC$244,2,FALSE),0)</f>
        <v>0</v>
      </c>
      <c r="Q121" s="201">
        <f>IFERROR(VLOOKUP($D$5:$D$260,List1!$S$5:$T$231,2,FALSE),0)</f>
        <v>587578</v>
      </c>
      <c r="R121" s="41">
        <v>0</v>
      </c>
      <c r="S121" s="41">
        <f>IFERROR(VLOOKUP($D$5:$D$260,List1!$AE$5:$AF$231,2,FALSE),0)</f>
        <v>150000</v>
      </c>
      <c r="T121" s="41">
        <f t="shared" si="11"/>
        <v>737578</v>
      </c>
      <c r="U121" s="41">
        <f>IFERROR(VLOOKUP(D121,List1!$P$5:$Q$110,2,FALSE),"0")</f>
        <v>73000</v>
      </c>
      <c r="V121" s="41">
        <v>0</v>
      </c>
      <c r="W121" s="248">
        <v>0</v>
      </c>
      <c r="X121" s="211">
        <f t="shared" si="12"/>
        <v>810578</v>
      </c>
      <c r="Y121" s="219"/>
      <c r="Z121" s="80">
        <f>IFERROR(VLOOKUP($D$5:$D$260,#REF!,3,FALSE),0)</f>
        <v>0</v>
      </c>
      <c r="AA121" s="80">
        <f>IFERROR(VLOOKUP($D$5:$D$260,#REF!,3,FALSE),0)</f>
        <v>0</v>
      </c>
      <c r="AB121" s="243">
        <v>0</v>
      </c>
      <c r="AC121" s="202">
        <f t="shared" si="13"/>
        <v>0</v>
      </c>
      <c r="AD121" s="259">
        <f t="shared" si="14"/>
        <v>-73000</v>
      </c>
      <c r="AE121" s="260">
        <f t="shared" si="15"/>
        <v>-1</v>
      </c>
      <c r="AF121" s="260">
        <f t="shared" si="16"/>
        <v>-1</v>
      </c>
      <c r="AG121" s="260">
        <f t="shared" si="17"/>
        <v>-1</v>
      </c>
    </row>
    <row r="122" spans="1:592" s="13" customFormat="1" ht="21" x14ac:dyDescent="0.2">
      <c r="A122" s="10" t="s">
        <v>369</v>
      </c>
      <c r="B122" s="11">
        <v>62695487</v>
      </c>
      <c r="C122" s="11" t="s">
        <v>267</v>
      </c>
      <c r="D122" s="11">
        <v>2073130</v>
      </c>
      <c r="E122" s="12" t="s">
        <v>268</v>
      </c>
      <c r="F122" s="192" t="s">
        <v>300</v>
      </c>
      <c r="G122" s="201">
        <f>IFERROR(VLOOKUP(D122,List1!$A$5:$B$227,2,FALSE),"0")</f>
        <v>846000</v>
      </c>
      <c r="H122" s="41" t="str">
        <f>IFERROR(VLOOKUP(D122,List1!$D$5:$E$41,2,FALSE),"0")</f>
        <v>0</v>
      </c>
      <c r="I122" s="41" t="str">
        <f>IFERROR(VLOOKUP(D122,List1!$G$5:$H$227,2,FALSE),"0")</f>
        <v>0</v>
      </c>
      <c r="J122" s="40">
        <f t="shared" si="10"/>
        <v>846000</v>
      </c>
      <c r="K122" s="41" t="str">
        <f>IFERROR(VLOOKUP(D122,List1!$J$5:$K$227,2,FALSE),"0")</f>
        <v>0</v>
      </c>
      <c r="L122" s="41" t="str">
        <f>IFERROR(VLOOKUP(D122,List1!$M$5:$N$112,2,FALSE),"0")</f>
        <v>0</v>
      </c>
      <c r="M122" s="43">
        <v>0</v>
      </c>
      <c r="N122" s="80">
        <f>VLOOKUP($D$5:$D$251,List2!$A$2:$B$241,2,FALSE)</f>
        <v>75000</v>
      </c>
      <c r="O122" s="80">
        <f>IFERROR(VLOOKUP($D$5:$D$260,List1!$Y$5:$Z$244,2,FALSE),0)</f>
        <v>0</v>
      </c>
      <c r="P122" s="202">
        <f>IFERROR(VLOOKUP($D$5:$D$260,List1!$AB$5:$AC$244,2,FALSE),0)</f>
        <v>330000</v>
      </c>
      <c r="Q122" s="201">
        <f>IFERROR(VLOOKUP($D$5:$D$260,List1!$S$5:$T$231,2,FALSE),0)</f>
        <v>746954</v>
      </c>
      <c r="R122" s="41">
        <v>0</v>
      </c>
      <c r="S122" s="41">
        <f>IFERROR(VLOOKUP($D$5:$D$260,List1!$AE$5:$AF$231,2,FALSE),0)</f>
        <v>200000</v>
      </c>
      <c r="T122" s="41">
        <f t="shared" si="11"/>
        <v>946954</v>
      </c>
      <c r="U122" s="41" t="str">
        <f>IFERROR(VLOOKUP(D122,List1!$P$5:$Q$110,2,FALSE),"0")</f>
        <v>0</v>
      </c>
      <c r="V122" s="41">
        <v>0</v>
      </c>
      <c r="W122" s="248">
        <v>330000</v>
      </c>
      <c r="X122" s="211">
        <f t="shared" si="12"/>
        <v>1276954</v>
      </c>
      <c r="Y122" s="219"/>
      <c r="Z122" s="80">
        <f>IFERROR(VLOOKUP($D$5:$D$260,#REF!,3,FALSE),0)</f>
        <v>0</v>
      </c>
      <c r="AA122" s="80">
        <f>IFERROR(VLOOKUP($D$5:$D$260,#REF!,3,FALSE),0)</f>
        <v>0</v>
      </c>
      <c r="AB122" s="243">
        <v>396000</v>
      </c>
      <c r="AC122" s="202">
        <f t="shared" si="13"/>
        <v>396000</v>
      </c>
      <c r="AD122" s="259">
        <f t="shared" si="14"/>
        <v>0</v>
      </c>
      <c r="AE122" s="260">
        <f t="shared" si="15"/>
        <v>0</v>
      </c>
      <c r="AF122" s="260">
        <f t="shared" si="16"/>
        <v>0</v>
      </c>
      <c r="AG122" s="260">
        <f t="shared" si="17"/>
        <v>0</v>
      </c>
    </row>
    <row r="123" spans="1:592" s="27" customFormat="1" ht="73.5" x14ac:dyDescent="0.2">
      <c r="A123" s="10" t="s">
        <v>370</v>
      </c>
      <c r="B123" s="11">
        <v>75100967</v>
      </c>
      <c r="C123" s="11" t="s">
        <v>371</v>
      </c>
      <c r="D123" s="11">
        <v>5957695</v>
      </c>
      <c r="E123" s="225" t="s">
        <v>325</v>
      </c>
      <c r="F123" s="192" t="s">
        <v>294</v>
      </c>
      <c r="G123" s="201">
        <f>IFERROR(VLOOKUP(D123,List1!$A$5:$B$227,2,FALSE),"0")</f>
        <v>1167000</v>
      </c>
      <c r="H123" s="41" t="str">
        <f>IFERROR(VLOOKUP(D123,List1!$D$5:$E$41,2,FALSE),"0")</f>
        <v>0</v>
      </c>
      <c r="I123" s="41" t="str">
        <f>IFERROR(VLOOKUP(D123,List1!$G$5:$H$227,2,FALSE),"0")</f>
        <v>0</v>
      </c>
      <c r="J123" s="40">
        <f t="shared" si="10"/>
        <v>1167000</v>
      </c>
      <c r="K123" s="41" t="str">
        <f>IFERROR(VLOOKUP(D123,List1!$J$5:$K$227,2,FALSE),"0")</f>
        <v>0</v>
      </c>
      <c r="L123" s="41" t="str">
        <f>IFERROR(VLOOKUP(D123,List1!$M$5:$N$112,2,FALSE),"0")</f>
        <v>0</v>
      </c>
      <c r="M123" s="43">
        <v>0</v>
      </c>
      <c r="N123" s="80">
        <f>VLOOKUP($D$5:$D$251,List2!$A$2:$B$241,2,FALSE)</f>
        <v>0</v>
      </c>
      <c r="O123" s="80">
        <f>IFERROR(VLOOKUP($D$5:$D$260,List1!$Y$5:$Z$244,2,FALSE),0)</f>
        <v>0</v>
      </c>
      <c r="P123" s="202">
        <f>IFERROR(VLOOKUP($D$5:$D$260,List1!$AB$5:$AC$244,2,FALSE),0)</f>
        <v>0</v>
      </c>
      <c r="Q123" s="201">
        <f>IFERROR(VLOOKUP($D$5:$D$260,List1!$S$5:$T$231,2,FALSE),0)</f>
        <v>977730</v>
      </c>
      <c r="R123" s="41">
        <v>0</v>
      </c>
      <c r="S123" s="41">
        <f>IFERROR(VLOOKUP($D$5:$D$260,List1!$AE$5:$AF$231,2,FALSE),0)</f>
        <v>250000</v>
      </c>
      <c r="T123" s="41">
        <f t="shared" si="11"/>
        <v>1227730</v>
      </c>
      <c r="U123" s="41" t="str">
        <f>IFERROR(VLOOKUP(D123,List1!$P$5:$Q$110,2,FALSE),"0")</f>
        <v>0</v>
      </c>
      <c r="V123" s="41">
        <v>0</v>
      </c>
      <c r="W123" s="248">
        <v>0</v>
      </c>
      <c r="X123" s="211">
        <f t="shared" si="12"/>
        <v>1227730</v>
      </c>
      <c r="Y123" s="219"/>
      <c r="Z123" s="80">
        <f>IFERROR(VLOOKUP($D$5:$D$260,#REF!,3,FALSE),0)</f>
        <v>0</v>
      </c>
      <c r="AA123" s="80">
        <f>IFERROR(VLOOKUP($D$5:$D$260,#REF!,3,FALSE),0)</f>
        <v>0</v>
      </c>
      <c r="AB123" s="243">
        <v>0</v>
      </c>
      <c r="AC123" s="202">
        <f t="shared" si="13"/>
        <v>0</v>
      </c>
      <c r="AD123" s="259">
        <f t="shared" si="14"/>
        <v>0</v>
      </c>
      <c r="AE123" s="260">
        <f t="shared" si="15"/>
        <v>0</v>
      </c>
      <c r="AF123" s="260">
        <f t="shared" si="16"/>
        <v>0</v>
      </c>
      <c r="AG123" s="260">
        <f t="shared" si="17"/>
        <v>0</v>
      </c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  <c r="IT123" s="13"/>
      <c r="IU123" s="13"/>
      <c r="IV123" s="13"/>
      <c r="IW123" s="13"/>
      <c r="IX123" s="13"/>
      <c r="IY123" s="13"/>
      <c r="IZ123" s="13"/>
      <c r="JA123" s="13"/>
      <c r="JB123" s="13"/>
      <c r="JC123" s="13"/>
      <c r="JD123" s="13"/>
      <c r="JE123" s="13"/>
      <c r="JF123" s="13"/>
      <c r="JG123" s="13"/>
      <c r="JH123" s="13"/>
      <c r="JI123" s="13"/>
      <c r="JJ123" s="13"/>
      <c r="JK123" s="13"/>
      <c r="JL123" s="13"/>
      <c r="JM123" s="13"/>
      <c r="JN123" s="13"/>
      <c r="JO123" s="13"/>
      <c r="JP123" s="13"/>
      <c r="JQ123" s="13"/>
      <c r="JR123" s="13"/>
      <c r="JS123" s="13"/>
      <c r="JT123" s="13"/>
      <c r="JU123" s="13"/>
      <c r="JV123" s="13"/>
      <c r="JW123" s="13"/>
      <c r="JX123" s="13"/>
      <c r="JY123" s="13"/>
      <c r="JZ123" s="13"/>
      <c r="KA123" s="13"/>
      <c r="KB123" s="13"/>
      <c r="KC123" s="13"/>
      <c r="KD123" s="13"/>
      <c r="KE123" s="13"/>
      <c r="KF123" s="13"/>
      <c r="KG123" s="13"/>
      <c r="KH123" s="13"/>
      <c r="KI123" s="13"/>
      <c r="KJ123" s="13"/>
      <c r="KK123" s="13"/>
      <c r="KL123" s="13"/>
      <c r="KM123" s="13"/>
      <c r="KN123" s="13"/>
      <c r="KO123" s="13"/>
      <c r="KP123" s="13"/>
      <c r="KQ123" s="13"/>
      <c r="KR123" s="13"/>
      <c r="KS123" s="13"/>
      <c r="KT123" s="13"/>
      <c r="KU123" s="13"/>
      <c r="KV123" s="13"/>
      <c r="KW123" s="13"/>
      <c r="KX123" s="13"/>
      <c r="KY123" s="13"/>
      <c r="KZ123" s="13"/>
      <c r="LA123" s="13"/>
      <c r="LB123" s="13"/>
      <c r="LC123" s="13"/>
      <c r="LD123" s="13"/>
      <c r="LE123" s="13"/>
      <c r="LF123" s="13"/>
      <c r="LG123" s="13"/>
      <c r="LH123" s="13"/>
      <c r="LI123" s="13"/>
      <c r="LJ123" s="13"/>
      <c r="LK123" s="13"/>
      <c r="LL123" s="13"/>
      <c r="LM123" s="13"/>
      <c r="LN123" s="13"/>
      <c r="LO123" s="13"/>
      <c r="LP123" s="13"/>
      <c r="LQ123" s="13"/>
      <c r="LR123" s="13"/>
      <c r="LS123" s="13"/>
      <c r="LT123" s="13"/>
      <c r="LU123" s="13"/>
      <c r="LV123" s="13"/>
      <c r="LW123" s="13"/>
      <c r="LX123" s="13"/>
      <c r="LY123" s="13"/>
      <c r="LZ123" s="13"/>
      <c r="MA123" s="13"/>
      <c r="MB123" s="13"/>
      <c r="MC123" s="13"/>
      <c r="MD123" s="13"/>
      <c r="ME123" s="13"/>
      <c r="MF123" s="13"/>
      <c r="MG123" s="13"/>
      <c r="MH123" s="13"/>
      <c r="MI123" s="13"/>
      <c r="MJ123" s="13"/>
      <c r="MK123" s="13"/>
      <c r="ML123" s="13"/>
      <c r="MM123" s="13"/>
      <c r="MN123" s="13"/>
      <c r="MO123" s="13"/>
      <c r="MP123" s="13"/>
      <c r="MQ123" s="13"/>
      <c r="MR123" s="13"/>
      <c r="MS123" s="13"/>
      <c r="MT123" s="13"/>
      <c r="MU123" s="13"/>
      <c r="MV123" s="13"/>
      <c r="MW123" s="13"/>
      <c r="MX123" s="13"/>
      <c r="MY123" s="13"/>
      <c r="MZ123" s="13"/>
      <c r="NA123" s="13"/>
      <c r="NB123" s="13"/>
      <c r="NC123" s="13"/>
      <c r="ND123" s="13"/>
      <c r="NE123" s="13"/>
      <c r="NF123" s="13"/>
      <c r="NG123" s="13"/>
      <c r="NH123" s="13"/>
      <c r="NI123" s="13"/>
      <c r="NJ123" s="13"/>
      <c r="NK123" s="13"/>
      <c r="NL123" s="13"/>
      <c r="NM123" s="13"/>
      <c r="NN123" s="13"/>
      <c r="NO123" s="13"/>
      <c r="NP123" s="13"/>
      <c r="NQ123" s="13"/>
      <c r="NR123" s="13"/>
      <c r="NS123" s="13"/>
      <c r="NT123" s="13"/>
      <c r="NU123" s="13"/>
      <c r="NV123" s="13"/>
      <c r="NW123" s="13"/>
      <c r="NX123" s="13"/>
      <c r="NY123" s="13"/>
      <c r="NZ123" s="13"/>
      <c r="OA123" s="13"/>
      <c r="OB123" s="13"/>
      <c r="OC123" s="13"/>
      <c r="OD123" s="13"/>
      <c r="OE123" s="13"/>
      <c r="OF123" s="13"/>
      <c r="OG123" s="13"/>
      <c r="OH123" s="13"/>
      <c r="OI123" s="13"/>
      <c r="OJ123" s="13"/>
      <c r="OK123" s="13"/>
      <c r="OL123" s="13"/>
      <c r="OM123" s="13"/>
      <c r="ON123" s="13"/>
      <c r="OO123" s="13"/>
      <c r="OP123" s="13"/>
      <c r="OQ123" s="13"/>
      <c r="OR123" s="13"/>
      <c r="OS123" s="13"/>
      <c r="OT123" s="13"/>
      <c r="OU123" s="13"/>
      <c r="OV123" s="13"/>
      <c r="OW123" s="13"/>
      <c r="OX123" s="13"/>
      <c r="OY123" s="13"/>
      <c r="OZ123" s="13"/>
      <c r="PA123" s="13"/>
      <c r="PB123" s="13"/>
      <c r="PC123" s="13"/>
      <c r="PD123" s="13"/>
      <c r="PE123" s="13"/>
      <c r="PF123" s="13"/>
      <c r="PG123" s="13"/>
      <c r="PH123" s="13"/>
      <c r="PI123" s="13"/>
      <c r="PJ123" s="13"/>
      <c r="PK123" s="13"/>
      <c r="PL123" s="13"/>
      <c r="PM123" s="13"/>
      <c r="PN123" s="13"/>
      <c r="PO123" s="13"/>
      <c r="PP123" s="13"/>
      <c r="PQ123" s="13"/>
      <c r="PR123" s="13"/>
      <c r="PS123" s="13"/>
      <c r="PT123" s="13"/>
      <c r="PU123" s="13"/>
      <c r="PV123" s="13"/>
      <c r="PW123" s="13"/>
      <c r="PX123" s="13"/>
      <c r="PY123" s="13"/>
      <c r="PZ123" s="13"/>
      <c r="QA123" s="13"/>
      <c r="QB123" s="13"/>
      <c r="QC123" s="13"/>
      <c r="QD123" s="13"/>
      <c r="QE123" s="13"/>
      <c r="QF123" s="13"/>
      <c r="QG123" s="13"/>
      <c r="QH123" s="13"/>
      <c r="QI123" s="13"/>
      <c r="QJ123" s="13"/>
      <c r="QK123" s="13"/>
      <c r="QL123" s="13"/>
      <c r="QM123" s="13"/>
      <c r="QN123" s="13"/>
      <c r="QO123" s="13"/>
      <c r="QP123" s="13"/>
      <c r="QQ123" s="13"/>
      <c r="QR123" s="13"/>
      <c r="QS123" s="13"/>
      <c r="QT123" s="13"/>
      <c r="QU123" s="13"/>
      <c r="QV123" s="13"/>
      <c r="QW123" s="13"/>
      <c r="QX123" s="13"/>
      <c r="QY123" s="13"/>
      <c r="QZ123" s="13"/>
      <c r="RA123" s="13"/>
      <c r="RB123" s="13"/>
      <c r="RC123" s="13"/>
      <c r="RD123" s="13"/>
      <c r="RE123" s="13"/>
      <c r="RF123" s="13"/>
      <c r="RG123" s="13"/>
      <c r="RH123" s="13"/>
      <c r="RI123" s="13"/>
      <c r="RJ123" s="13"/>
      <c r="RK123" s="13"/>
      <c r="RL123" s="13"/>
      <c r="RM123" s="13"/>
      <c r="RN123" s="13"/>
      <c r="RO123" s="13"/>
      <c r="RP123" s="13"/>
      <c r="RQ123" s="13"/>
      <c r="RR123" s="13"/>
      <c r="RS123" s="13"/>
      <c r="RT123" s="13"/>
      <c r="RU123" s="13"/>
      <c r="RV123" s="13"/>
      <c r="RW123" s="13"/>
      <c r="RX123" s="13"/>
      <c r="RY123" s="13"/>
      <c r="RZ123" s="13"/>
      <c r="SA123" s="13"/>
      <c r="SB123" s="13"/>
      <c r="SC123" s="13"/>
      <c r="SD123" s="13"/>
      <c r="SE123" s="13"/>
      <c r="SF123" s="13"/>
      <c r="SG123" s="13"/>
      <c r="SH123" s="13"/>
      <c r="SI123" s="13"/>
      <c r="SJ123" s="13"/>
      <c r="SK123" s="13"/>
      <c r="SL123" s="13"/>
      <c r="SM123" s="13"/>
      <c r="SN123" s="13"/>
      <c r="SO123" s="13"/>
      <c r="SP123" s="13"/>
      <c r="SQ123" s="13"/>
      <c r="SR123" s="13"/>
      <c r="SS123" s="13"/>
      <c r="ST123" s="13"/>
      <c r="SU123" s="13"/>
      <c r="SV123" s="13"/>
      <c r="SW123" s="13"/>
      <c r="SX123" s="13"/>
      <c r="SY123" s="13"/>
      <c r="SZ123" s="13"/>
      <c r="TA123" s="13"/>
      <c r="TB123" s="13"/>
      <c r="TC123" s="13"/>
      <c r="TD123" s="13"/>
      <c r="TE123" s="13"/>
      <c r="TF123" s="13"/>
      <c r="TG123" s="13"/>
      <c r="TH123" s="13"/>
      <c r="TI123" s="13"/>
      <c r="TJ123" s="13"/>
      <c r="TK123" s="13"/>
      <c r="TL123" s="13"/>
      <c r="TM123" s="13"/>
      <c r="TN123" s="13"/>
      <c r="TO123" s="13"/>
      <c r="TP123" s="13"/>
      <c r="TQ123" s="13"/>
      <c r="TR123" s="13"/>
      <c r="TS123" s="13"/>
      <c r="TT123" s="13"/>
      <c r="TU123" s="13"/>
      <c r="TV123" s="13"/>
      <c r="TW123" s="13"/>
      <c r="TX123" s="13"/>
      <c r="TY123" s="13"/>
      <c r="TZ123" s="13"/>
      <c r="UA123" s="13"/>
      <c r="UB123" s="13"/>
      <c r="UC123" s="13"/>
      <c r="UD123" s="13"/>
      <c r="UE123" s="13"/>
      <c r="UF123" s="13"/>
      <c r="UG123" s="13"/>
      <c r="UH123" s="13"/>
      <c r="UI123" s="13"/>
      <c r="UJ123" s="13"/>
      <c r="UK123" s="13"/>
      <c r="UL123" s="13"/>
      <c r="UM123" s="13"/>
      <c r="UN123" s="13"/>
      <c r="UO123" s="13"/>
      <c r="UP123" s="13"/>
      <c r="UQ123" s="13"/>
      <c r="UR123" s="13"/>
      <c r="US123" s="13"/>
      <c r="UT123" s="13"/>
      <c r="UU123" s="13"/>
      <c r="UV123" s="13"/>
      <c r="UW123" s="13"/>
      <c r="UX123" s="13"/>
      <c r="UY123" s="13"/>
      <c r="UZ123" s="13"/>
      <c r="VA123" s="13"/>
      <c r="VB123" s="13"/>
      <c r="VC123" s="13"/>
      <c r="VD123" s="13"/>
      <c r="VE123" s="13"/>
      <c r="VF123" s="13"/>
      <c r="VG123" s="13"/>
      <c r="VH123" s="13"/>
      <c r="VI123" s="13"/>
      <c r="VJ123" s="13"/>
      <c r="VK123" s="13"/>
      <c r="VL123" s="13"/>
      <c r="VM123" s="13"/>
      <c r="VN123" s="13"/>
      <c r="VO123" s="13"/>
      <c r="VP123" s="13"/>
      <c r="VQ123" s="13"/>
      <c r="VR123" s="13"/>
      <c r="VS123" s="13"/>
      <c r="VT123" s="13"/>
    </row>
    <row r="124" spans="1:592" s="27" customFormat="1" ht="21" x14ac:dyDescent="0.2">
      <c r="A124" s="10" t="s">
        <v>123</v>
      </c>
      <c r="B124" s="12">
        <v>8751641</v>
      </c>
      <c r="C124" s="12" t="s">
        <v>372</v>
      </c>
      <c r="D124" s="12">
        <v>8752756</v>
      </c>
      <c r="E124" s="228" t="s">
        <v>330</v>
      </c>
      <c r="F124" s="192" t="s">
        <v>300</v>
      </c>
      <c r="G124" s="201">
        <f>IFERROR(VLOOKUP(D124,List1!$A$5:$B$227,2,FALSE),"0")</f>
        <v>1073000</v>
      </c>
      <c r="H124" s="41" t="str">
        <f>IFERROR(VLOOKUP(D124,List1!$D$5:$E$41,2,FALSE),"0")</f>
        <v>0</v>
      </c>
      <c r="I124" s="41" t="str">
        <f>IFERROR(VLOOKUP(D124,List1!$G$5:$H$227,2,FALSE),"0")</f>
        <v>0</v>
      </c>
      <c r="J124" s="40">
        <f t="shared" si="10"/>
        <v>1073000</v>
      </c>
      <c r="K124" s="41">
        <f>IFERROR(VLOOKUP(D124,List1!$J$5:$K$227,2,FALSE),"0")</f>
        <v>64000</v>
      </c>
      <c r="L124" s="41">
        <f>IFERROR(VLOOKUP(D124,List1!$M$5:$N$112,2,FALSE),"0")</f>
        <v>27000</v>
      </c>
      <c r="M124" s="43">
        <v>0</v>
      </c>
      <c r="N124" s="80">
        <f>VLOOKUP($D$5:$D$251,List2!$A$2:$B$241,2,FALSE)</f>
        <v>0</v>
      </c>
      <c r="O124" s="80">
        <f>IFERROR(VLOOKUP($D$5:$D$260,List1!$Y$5:$Z$244,2,FALSE),0)</f>
        <v>0</v>
      </c>
      <c r="P124" s="202">
        <f>IFERROR(VLOOKUP($D$5:$D$260,List1!$AB$5:$AC$244,2,FALSE),0)</f>
        <v>0</v>
      </c>
      <c r="Q124" s="201">
        <f>IFERROR(VLOOKUP($D$5:$D$260,List1!$S$5:$T$231,2,FALSE),0)</f>
        <v>1244283</v>
      </c>
      <c r="R124" s="41">
        <v>0</v>
      </c>
      <c r="S124" s="41">
        <f>IFERROR(VLOOKUP($D$5:$D$260,List1!$AE$5:$AF$231,2,FALSE),0)</f>
        <v>350000</v>
      </c>
      <c r="T124" s="41">
        <f t="shared" si="11"/>
        <v>1594283</v>
      </c>
      <c r="U124" s="41">
        <f>IFERROR(VLOOKUP(D124,List1!$P$5:$Q$110,2,FALSE),"0")</f>
        <v>174000</v>
      </c>
      <c r="V124" s="41">
        <v>0</v>
      </c>
      <c r="W124" s="248">
        <v>0</v>
      </c>
      <c r="X124" s="211">
        <f t="shared" si="12"/>
        <v>1768283</v>
      </c>
      <c r="Y124" s="219"/>
      <c r="Z124" s="80">
        <f>IFERROR(VLOOKUP($D$5:$D$260,#REF!,3,FALSE),0)</f>
        <v>0</v>
      </c>
      <c r="AA124" s="80">
        <f>IFERROR(VLOOKUP($D$5:$D$260,#REF!,3,FALSE),0)</f>
        <v>0</v>
      </c>
      <c r="AB124" s="243">
        <v>0</v>
      </c>
      <c r="AC124" s="202">
        <f t="shared" si="13"/>
        <v>0</v>
      </c>
      <c r="AD124" s="259">
        <f t="shared" si="14"/>
        <v>-174000</v>
      </c>
      <c r="AE124" s="260">
        <f t="shared" si="15"/>
        <v>-1</v>
      </c>
      <c r="AF124" s="260">
        <f t="shared" si="16"/>
        <v>-1</v>
      </c>
      <c r="AG124" s="260">
        <f t="shared" si="17"/>
        <v>-1</v>
      </c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  <c r="IT124" s="13"/>
      <c r="IU124" s="13"/>
      <c r="IV124" s="13"/>
      <c r="IW124" s="13"/>
      <c r="IX124" s="13"/>
      <c r="IY124" s="13"/>
      <c r="IZ124" s="13"/>
      <c r="JA124" s="13"/>
      <c r="JB124" s="13"/>
      <c r="JC124" s="13"/>
      <c r="JD124" s="13"/>
      <c r="JE124" s="13"/>
      <c r="JF124" s="13"/>
      <c r="JG124" s="13"/>
      <c r="JH124" s="13"/>
      <c r="JI124" s="13"/>
      <c r="JJ124" s="13"/>
      <c r="JK124" s="13"/>
      <c r="JL124" s="13"/>
      <c r="JM124" s="13"/>
      <c r="JN124" s="13"/>
      <c r="JO124" s="13"/>
      <c r="JP124" s="13"/>
      <c r="JQ124" s="13"/>
      <c r="JR124" s="13"/>
      <c r="JS124" s="13"/>
      <c r="JT124" s="13"/>
      <c r="JU124" s="13"/>
      <c r="JV124" s="13"/>
      <c r="JW124" s="13"/>
      <c r="JX124" s="13"/>
      <c r="JY124" s="13"/>
      <c r="JZ124" s="13"/>
      <c r="KA124" s="13"/>
      <c r="KB124" s="13"/>
      <c r="KC124" s="13"/>
      <c r="KD124" s="13"/>
      <c r="KE124" s="13"/>
      <c r="KF124" s="13"/>
      <c r="KG124" s="13"/>
      <c r="KH124" s="13"/>
      <c r="KI124" s="13"/>
      <c r="KJ124" s="13"/>
      <c r="KK124" s="13"/>
      <c r="KL124" s="13"/>
      <c r="KM124" s="13"/>
      <c r="KN124" s="13"/>
      <c r="KO124" s="13"/>
      <c r="KP124" s="13"/>
      <c r="KQ124" s="13"/>
      <c r="KR124" s="13"/>
      <c r="KS124" s="13"/>
      <c r="KT124" s="13"/>
      <c r="KU124" s="13"/>
      <c r="KV124" s="13"/>
      <c r="KW124" s="13"/>
      <c r="KX124" s="13"/>
      <c r="KY124" s="13"/>
      <c r="KZ124" s="13"/>
      <c r="LA124" s="13"/>
      <c r="LB124" s="13"/>
      <c r="LC124" s="13"/>
      <c r="LD124" s="13"/>
      <c r="LE124" s="13"/>
      <c r="LF124" s="13"/>
      <c r="LG124" s="13"/>
      <c r="LH124" s="13"/>
      <c r="LI124" s="13"/>
      <c r="LJ124" s="13"/>
      <c r="LK124" s="13"/>
      <c r="LL124" s="13"/>
      <c r="LM124" s="13"/>
      <c r="LN124" s="13"/>
      <c r="LO124" s="13"/>
      <c r="LP124" s="13"/>
      <c r="LQ124" s="13"/>
      <c r="LR124" s="13"/>
      <c r="LS124" s="13"/>
      <c r="LT124" s="13"/>
      <c r="LU124" s="13"/>
      <c r="LV124" s="13"/>
      <c r="LW124" s="13"/>
      <c r="LX124" s="13"/>
      <c r="LY124" s="13"/>
      <c r="LZ124" s="13"/>
      <c r="MA124" s="13"/>
      <c r="MB124" s="13"/>
      <c r="MC124" s="13"/>
      <c r="MD124" s="13"/>
      <c r="ME124" s="13"/>
      <c r="MF124" s="13"/>
      <c r="MG124" s="13"/>
      <c r="MH124" s="13"/>
      <c r="MI124" s="13"/>
      <c r="MJ124" s="13"/>
      <c r="MK124" s="13"/>
      <c r="ML124" s="13"/>
      <c r="MM124" s="13"/>
      <c r="MN124" s="13"/>
      <c r="MO124" s="13"/>
      <c r="MP124" s="13"/>
      <c r="MQ124" s="13"/>
      <c r="MR124" s="13"/>
      <c r="MS124" s="13"/>
      <c r="MT124" s="13"/>
      <c r="MU124" s="13"/>
      <c r="MV124" s="13"/>
      <c r="MW124" s="13"/>
      <c r="MX124" s="13"/>
      <c r="MY124" s="13"/>
      <c r="MZ124" s="13"/>
      <c r="NA124" s="13"/>
      <c r="NB124" s="13"/>
      <c r="NC124" s="13"/>
      <c r="ND124" s="13"/>
      <c r="NE124" s="13"/>
      <c r="NF124" s="13"/>
      <c r="NG124" s="13"/>
      <c r="NH124" s="13"/>
      <c r="NI124" s="13"/>
      <c r="NJ124" s="13"/>
      <c r="NK124" s="13"/>
      <c r="NL124" s="13"/>
      <c r="NM124" s="13"/>
      <c r="NN124" s="13"/>
      <c r="NO124" s="13"/>
      <c r="NP124" s="13"/>
      <c r="NQ124" s="13"/>
      <c r="NR124" s="13"/>
      <c r="NS124" s="13"/>
      <c r="NT124" s="13"/>
      <c r="NU124" s="13"/>
      <c r="NV124" s="13"/>
      <c r="NW124" s="13"/>
      <c r="NX124" s="13"/>
      <c r="NY124" s="13"/>
      <c r="NZ124" s="13"/>
      <c r="OA124" s="13"/>
      <c r="OB124" s="13"/>
      <c r="OC124" s="13"/>
      <c r="OD124" s="13"/>
      <c r="OE124" s="13"/>
      <c r="OF124" s="13"/>
      <c r="OG124" s="13"/>
      <c r="OH124" s="13"/>
      <c r="OI124" s="13"/>
      <c r="OJ124" s="13"/>
      <c r="OK124" s="13"/>
      <c r="OL124" s="13"/>
      <c r="OM124" s="13"/>
      <c r="ON124" s="13"/>
      <c r="OO124" s="13"/>
      <c r="OP124" s="13"/>
      <c r="OQ124" s="13"/>
      <c r="OR124" s="13"/>
      <c r="OS124" s="13"/>
      <c r="OT124" s="13"/>
      <c r="OU124" s="13"/>
      <c r="OV124" s="13"/>
      <c r="OW124" s="13"/>
      <c r="OX124" s="13"/>
      <c r="OY124" s="13"/>
      <c r="OZ124" s="13"/>
      <c r="PA124" s="13"/>
      <c r="PB124" s="13"/>
      <c r="PC124" s="13"/>
      <c r="PD124" s="13"/>
      <c r="PE124" s="13"/>
      <c r="PF124" s="13"/>
      <c r="PG124" s="13"/>
      <c r="PH124" s="13"/>
      <c r="PI124" s="13"/>
      <c r="PJ124" s="13"/>
      <c r="PK124" s="13"/>
      <c r="PL124" s="13"/>
      <c r="PM124" s="13"/>
      <c r="PN124" s="13"/>
      <c r="PO124" s="13"/>
      <c r="PP124" s="13"/>
      <c r="PQ124" s="13"/>
      <c r="PR124" s="13"/>
      <c r="PS124" s="13"/>
      <c r="PT124" s="13"/>
      <c r="PU124" s="13"/>
      <c r="PV124" s="13"/>
      <c r="PW124" s="13"/>
      <c r="PX124" s="13"/>
      <c r="PY124" s="13"/>
      <c r="PZ124" s="13"/>
      <c r="QA124" s="13"/>
      <c r="QB124" s="13"/>
      <c r="QC124" s="13"/>
      <c r="QD124" s="13"/>
      <c r="QE124" s="13"/>
      <c r="QF124" s="13"/>
      <c r="QG124" s="13"/>
      <c r="QH124" s="13"/>
      <c r="QI124" s="13"/>
      <c r="QJ124" s="13"/>
      <c r="QK124" s="13"/>
      <c r="QL124" s="13"/>
      <c r="QM124" s="13"/>
      <c r="QN124" s="13"/>
      <c r="QO124" s="13"/>
      <c r="QP124" s="13"/>
      <c r="QQ124" s="13"/>
      <c r="QR124" s="13"/>
      <c r="QS124" s="13"/>
      <c r="QT124" s="13"/>
      <c r="QU124" s="13"/>
      <c r="QV124" s="13"/>
      <c r="QW124" s="13"/>
      <c r="QX124" s="13"/>
      <c r="QY124" s="13"/>
      <c r="QZ124" s="13"/>
      <c r="RA124" s="13"/>
      <c r="RB124" s="13"/>
      <c r="RC124" s="13"/>
      <c r="RD124" s="13"/>
      <c r="RE124" s="13"/>
      <c r="RF124" s="13"/>
      <c r="RG124" s="13"/>
      <c r="RH124" s="13"/>
      <c r="RI124" s="13"/>
      <c r="RJ124" s="13"/>
      <c r="RK124" s="13"/>
      <c r="RL124" s="13"/>
      <c r="RM124" s="13"/>
      <c r="RN124" s="13"/>
      <c r="RO124" s="13"/>
      <c r="RP124" s="13"/>
      <c r="RQ124" s="13"/>
      <c r="RR124" s="13"/>
      <c r="RS124" s="13"/>
      <c r="RT124" s="13"/>
      <c r="RU124" s="13"/>
      <c r="RV124" s="13"/>
      <c r="RW124" s="13"/>
      <c r="RX124" s="13"/>
      <c r="RY124" s="13"/>
      <c r="RZ124" s="13"/>
      <c r="SA124" s="13"/>
      <c r="SB124" s="13"/>
      <c r="SC124" s="13"/>
      <c r="SD124" s="13"/>
      <c r="SE124" s="13"/>
      <c r="SF124" s="13"/>
      <c r="SG124" s="13"/>
      <c r="SH124" s="13"/>
      <c r="SI124" s="13"/>
      <c r="SJ124" s="13"/>
      <c r="SK124" s="13"/>
      <c r="SL124" s="13"/>
      <c r="SM124" s="13"/>
      <c r="SN124" s="13"/>
      <c r="SO124" s="13"/>
      <c r="SP124" s="13"/>
      <c r="SQ124" s="13"/>
      <c r="SR124" s="13"/>
      <c r="SS124" s="13"/>
      <c r="ST124" s="13"/>
      <c r="SU124" s="13"/>
      <c r="SV124" s="13"/>
      <c r="SW124" s="13"/>
      <c r="SX124" s="13"/>
      <c r="SY124" s="13"/>
      <c r="SZ124" s="13"/>
      <c r="TA124" s="13"/>
      <c r="TB124" s="13"/>
      <c r="TC124" s="13"/>
      <c r="TD124" s="13"/>
      <c r="TE124" s="13"/>
      <c r="TF124" s="13"/>
      <c r="TG124" s="13"/>
      <c r="TH124" s="13"/>
      <c r="TI124" s="13"/>
      <c r="TJ124" s="13"/>
      <c r="TK124" s="13"/>
      <c r="TL124" s="13"/>
      <c r="TM124" s="13"/>
      <c r="TN124" s="13"/>
      <c r="TO124" s="13"/>
      <c r="TP124" s="13"/>
      <c r="TQ124" s="13"/>
      <c r="TR124" s="13"/>
      <c r="TS124" s="13"/>
      <c r="TT124" s="13"/>
      <c r="TU124" s="13"/>
      <c r="TV124" s="13"/>
      <c r="TW124" s="13"/>
      <c r="TX124" s="13"/>
      <c r="TY124" s="13"/>
      <c r="TZ124" s="13"/>
      <c r="UA124" s="13"/>
      <c r="UB124" s="13"/>
      <c r="UC124" s="13"/>
      <c r="UD124" s="13"/>
      <c r="UE124" s="13"/>
      <c r="UF124" s="13"/>
      <c r="UG124" s="13"/>
      <c r="UH124" s="13"/>
      <c r="UI124" s="13"/>
      <c r="UJ124" s="13"/>
      <c r="UK124" s="13"/>
      <c r="UL124" s="13"/>
      <c r="UM124" s="13"/>
      <c r="UN124" s="13"/>
      <c r="UO124" s="13"/>
      <c r="UP124" s="13"/>
      <c r="UQ124" s="13"/>
      <c r="UR124" s="13"/>
      <c r="US124" s="13"/>
      <c r="UT124" s="13"/>
      <c r="UU124" s="13"/>
      <c r="UV124" s="13"/>
      <c r="UW124" s="13"/>
      <c r="UX124" s="13"/>
      <c r="UY124" s="13"/>
      <c r="UZ124" s="13"/>
      <c r="VA124" s="13"/>
      <c r="VB124" s="13"/>
      <c r="VC124" s="13"/>
      <c r="VD124" s="13"/>
      <c r="VE124" s="13"/>
      <c r="VF124" s="13"/>
      <c r="VG124" s="13"/>
      <c r="VH124" s="13"/>
      <c r="VI124" s="13"/>
      <c r="VJ124" s="13"/>
      <c r="VK124" s="13"/>
      <c r="VL124" s="13"/>
      <c r="VM124" s="13"/>
      <c r="VN124" s="13"/>
      <c r="VO124" s="13"/>
      <c r="VP124" s="13"/>
      <c r="VQ124" s="13"/>
      <c r="VR124" s="13"/>
      <c r="VS124" s="13"/>
      <c r="VT124" s="13"/>
    </row>
    <row r="125" spans="1:592" s="27" customFormat="1" ht="21" x14ac:dyDescent="0.2">
      <c r="A125" s="10" t="s">
        <v>373</v>
      </c>
      <c r="B125" s="12">
        <v>8848254</v>
      </c>
      <c r="C125" s="12" t="s">
        <v>372</v>
      </c>
      <c r="D125" s="12">
        <v>7356784</v>
      </c>
      <c r="E125" s="228" t="s">
        <v>330</v>
      </c>
      <c r="F125" s="192" t="s">
        <v>300</v>
      </c>
      <c r="G125" s="201">
        <f>IFERROR(VLOOKUP(D125,List1!$A$5:$B$227,2,FALSE),"0")</f>
        <v>1238000</v>
      </c>
      <c r="H125" s="41" t="str">
        <f>IFERROR(VLOOKUP(D125,List1!$D$5:$E$41,2,FALSE),"0")</f>
        <v>0</v>
      </c>
      <c r="I125" s="41" t="str">
        <f>IFERROR(VLOOKUP(D125,List1!$G$5:$H$227,2,FALSE),"0")</f>
        <v>0</v>
      </c>
      <c r="J125" s="40">
        <f t="shared" si="10"/>
        <v>1238000</v>
      </c>
      <c r="K125" s="41">
        <f>IFERROR(VLOOKUP(D125,List1!$J$5:$K$227,2,FALSE),"0")</f>
        <v>64000</v>
      </c>
      <c r="L125" s="41">
        <f>IFERROR(VLOOKUP(D125,List1!$M$5:$N$112,2,FALSE),"0")</f>
        <v>27000</v>
      </c>
      <c r="M125" s="43">
        <v>0</v>
      </c>
      <c r="N125" s="80">
        <f>VLOOKUP($D$5:$D$251,List2!$A$2:$B$241,2,FALSE)</f>
        <v>145688</v>
      </c>
      <c r="O125" s="80">
        <f>IFERROR(VLOOKUP($D$5:$D$260,List1!$Y$5:$Z$244,2,FALSE),0)</f>
        <v>0</v>
      </c>
      <c r="P125" s="202">
        <f>IFERROR(VLOOKUP($D$5:$D$260,List1!$AB$5:$AC$244,2,FALSE),0)</f>
        <v>0</v>
      </c>
      <c r="Q125" s="201">
        <f>IFERROR(VLOOKUP($D$5:$D$260,List1!$S$5:$T$231,2,FALSE),0)</f>
        <v>1244283</v>
      </c>
      <c r="R125" s="41">
        <v>0</v>
      </c>
      <c r="S125" s="41">
        <f>IFERROR(VLOOKUP($D$5:$D$260,List1!$AE$5:$AF$231,2,FALSE),0)</f>
        <v>350000</v>
      </c>
      <c r="T125" s="41">
        <f t="shared" si="11"/>
        <v>1594283</v>
      </c>
      <c r="U125" s="41">
        <f>IFERROR(VLOOKUP(D125,List1!$P$5:$Q$110,2,FALSE),"0")</f>
        <v>174000</v>
      </c>
      <c r="V125" s="41">
        <v>0</v>
      </c>
      <c r="W125" s="248">
        <v>0</v>
      </c>
      <c r="X125" s="211">
        <f t="shared" si="12"/>
        <v>1768283</v>
      </c>
      <c r="Y125" s="219"/>
      <c r="Z125" s="80">
        <f>IFERROR(VLOOKUP($D$5:$D$260,#REF!,3,FALSE),0)</f>
        <v>0</v>
      </c>
      <c r="AA125" s="80">
        <f>IFERROR(VLOOKUP($D$5:$D$260,#REF!,3,FALSE),0)</f>
        <v>0</v>
      </c>
      <c r="AB125" s="243">
        <v>0</v>
      </c>
      <c r="AC125" s="202">
        <f t="shared" si="13"/>
        <v>0</v>
      </c>
      <c r="AD125" s="259">
        <f t="shared" si="14"/>
        <v>-174000</v>
      </c>
      <c r="AE125" s="260">
        <f t="shared" si="15"/>
        <v>-1</v>
      </c>
      <c r="AF125" s="260">
        <f t="shared" si="16"/>
        <v>-1</v>
      </c>
      <c r="AG125" s="260">
        <f t="shared" si="17"/>
        <v>-1</v>
      </c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  <c r="IT125" s="13"/>
      <c r="IU125" s="13"/>
      <c r="IV125" s="13"/>
      <c r="IW125" s="13"/>
      <c r="IX125" s="13"/>
      <c r="IY125" s="13"/>
      <c r="IZ125" s="13"/>
      <c r="JA125" s="13"/>
      <c r="JB125" s="13"/>
      <c r="JC125" s="13"/>
      <c r="JD125" s="13"/>
      <c r="JE125" s="13"/>
      <c r="JF125" s="13"/>
      <c r="JG125" s="13"/>
      <c r="JH125" s="13"/>
      <c r="JI125" s="13"/>
      <c r="JJ125" s="13"/>
      <c r="JK125" s="13"/>
      <c r="JL125" s="13"/>
      <c r="JM125" s="13"/>
      <c r="JN125" s="13"/>
      <c r="JO125" s="13"/>
      <c r="JP125" s="13"/>
      <c r="JQ125" s="13"/>
      <c r="JR125" s="13"/>
      <c r="JS125" s="13"/>
      <c r="JT125" s="13"/>
      <c r="JU125" s="13"/>
      <c r="JV125" s="13"/>
      <c r="JW125" s="13"/>
      <c r="JX125" s="13"/>
      <c r="JY125" s="13"/>
      <c r="JZ125" s="13"/>
      <c r="KA125" s="13"/>
      <c r="KB125" s="13"/>
      <c r="KC125" s="13"/>
      <c r="KD125" s="13"/>
      <c r="KE125" s="13"/>
      <c r="KF125" s="13"/>
      <c r="KG125" s="13"/>
      <c r="KH125" s="13"/>
      <c r="KI125" s="13"/>
      <c r="KJ125" s="13"/>
      <c r="KK125" s="13"/>
      <c r="KL125" s="13"/>
      <c r="KM125" s="13"/>
      <c r="KN125" s="13"/>
      <c r="KO125" s="13"/>
      <c r="KP125" s="13"/>
      <c r="KQ125" s="13"/>
      <c r="KR125" s="13"/>
      <c r="KS125" s="13"/>
      <c r="KT125" s="13"/>
      <c r="KU125" s="13"/>
      <c r="KV125" s="13"/>
      <c r="KW125" s="13"/>
      <c r="KX125" s="13"/>
      <c r="KY125" s="13"/>
      <c r="KZ125" s="13"/>
      <c r="LA125" s="13"/>
      <c r="LB125" s="13"/>
      <c r="LC125" s="13"/>
      <c r="LD125" s="13"/>
      <c r="LE125" s="13"/>
      <c r="LF125" s="13"/>
      <c r="LG125" s="13"/>
      <c r="LH125" s="13"/>
      <c r="LI125" s="13"/>
      <c r="LJ125" s="13"/>
      <c r="LK125" s="13"/>
      <c r="LL125" s="13"/>
      <c r="LM125" s="13"/>
      <c r="LN125" s="13"/>
      <c r="LO125" s="13"/>
      <c r="LP125" s="13"/>
      <c r="LQ125" s="13"/>
      <c r="LR125" s="13"/>
      <c r="LS125" s="13"/>
      <c r="LT125" s="13"/>
      <c r="LU125" s="13"/>
      <c r="LV125" s="13"/>
      <c r="LW125" s="13"/>
      <c r="LX125" s="13"/>
      <c r="LY125" s="13"/>
      <c r="LZ125" s="13"/>
      <c r="MA125" s="13"/>
      <c r="MB125" s="13"/>
      <c r="MC125" s="13"/>
      <c r="MD125" s="13"/>
      <c r="ME125" s="13"/>
      <c r="MF125" s="13"/>
      <c r="MG125" s="13"/>
      <c r="MH125" s="13"/>
      <c r="MI125" s="13"/>
      <c r="MJ125" s="13"/>
      <c r="MK125" s="13"/>
      <c r="ML125" s="13"/>
      <c r="MM125" s="13"/>
      <c r="MN125" s="13"/>
      <c r="MO125" s="13"/>
      <c r="MP125" s="13"/>
      <c r="MQ125" s="13"/>
      <c r="MR125" s="13"/>
      <c r="MS125" s="13"/>
      <c r="MT125" s="13"/>
      <c r="MU125" s="13"/>
      <c r="MV125" s="13"/>
      <c r="MW125" s="13"/>
      <c r="MX125" s="13"/>
      <c r="MY125" s="13"/>
      <c r="MZ125" s="13"/>
      <c r="NA125" s="13"/>
      <c r="NB125" s="13"/>
      <c r="NC125" s="13"/>
      <c r="ND125" s="13"/>
      <c r="NE125" s="13"/>
      <c r="NF125" s="13"/>
      <c r="NG125" s="13"/>
      <c r="NH125" s="13"/>
      <c r="NI125" s="13"/>
      <c r="NJ125" s="13"/>
      <c r="NK125" s="13"/>
      <c r="NL125" s="13"/>
      <c r="NM125" s="13"/>
      <c r="NN125" s="13"/>
      <c r="NO125" s="13"/>
      <c r="NP125" s="13"/>
      <c r="NQ125" s="13"/>
      <c r="NR125" s="13"/>
      <c r="NS125" s="13"/>
      <c r="NT125" s="13"/>
      <c r="NU125" s="13"/>
      <c r="NV125" s="13"/>
      <c r="NW125" s="13"/>
      <c r="NX125" s="13"/>
      <c r="NY125" s="13"/>
      <c r="NZ125" s="13"/>
      <c r="OA125" s="13"/>
      <c r="OB125" s="13"/>
      <c r="OC125" s="13"/>
      <c r="OD125" s="13"/>
      <c r="OE125" s="13"/>
      <c r="OF125" s="13"/>
      <c r="OG125" s="13"/>
      <c r="OH125" s="13"/>
      <c r="OI125" s="13"/>
      <c r="OJ125" s="13"/>
      <c r="OK125" s="13"/>
      <c r="OL125" s="13"/>
      <c r="OM125" s="13"/>
      <c r="ON125" s="13"/>
      <c r="OO125" s="13"/>
      <c r="OP125" s="13"/>
      <c r="OQ125" s="13"/>
      <c r="OR125" s="13"/>
      <c r="OS125" s="13"/>
      <c r="OT125" s="13"/>
      <c r="OU125" s="13"/>
      <c r="OV125" s="13"/>
      <c r="OW125" s="13"/>
      <c r="OX125" s="13"/>
      <c r="OY125" s="13"/>
      <c r="OZ125" s="13"/>
      <c r="PA125" s="13"/>
      <c r="PB125" s="13"/>
      <c r="PC125" s="13"/>
      <c r="PD125" s="13"/>
      <c r="PE125" s="13"/>
      <c r="PF125" s="13"/>
      <c r="PG125" s="13"/>
      <c r="PH125" s="13"/>
      <c r="PI125" s="13"/>
      <c r="PJ125" s="13"/>
      <c r="PK125" s="13"/>
      <c r="PL125" s="13"/>
      <c r="PM125" s="13"/>
      <c r="PN125" s="13"/>
      <c r="PO125" s="13"/>
      <c r="PP125" s="13"/>
      <c r="PQ125" s="13"/>
      <c r="PR125" s="13"/>
      <c r="PS125" s="13"/>
      <c r="PT125" s="13"/>
      <c r="PU125" s="13"/>
      <c r="PV125" s="13"/>
      <c r="PW125" s="13"/>
      <c r="PX125" s="13"/>
      <c r="PY125" s="13"/>
      <c r="PZ125" s="13"/>
      <c r="QA125" s="13"/>
      <c r="QB125" s="13"/>
      <c r="QC125" s="13"/>
      <c r="QD125" s="13"/>
      <c r="QE125" s="13"/>
      <c r="QF125" s="13"/>
      <c r="QG125" s="13"/>
      <c r="QH125" s="13"/>
      <c r="QI125" s="13"/>
      <c r="QJ125" s="13"/>
      <c r="QK125" s="13"/>
      <c r="QL125" s="13"/>
      <c r="QM125" s="13"/>
      <c r="QN125" s="13"/>
      <c r="QO125" s="13"/>
      <c r="QP125" s="13"/>
      <c r="QQ125" s="13"/>
      <c r="QR125" s="13"/>
      <c r="QS125" s="13"/>
      <c r="QT125" s="13"/>
      <c r="QU125" s="13"/>
      <c r="QV125" s="13"/>
      <c r="QW125" s="13"/>
      <c r="QX125" s="13"/>
      <c r="QY125" s="13"/>
      <c r="QZ125" s="13"/>
      <c r="RA125" s="13"/>
      <c r="RB125" s="13"/>
      <c r="RC125" s="13"/>
      <c r="RD125" s="13"/>
      <c r="RE125" s="13"/>
      <c r="RF125" s="13"/>
      <c r="RG125" s="13"/>
      <c r="RH125" s="13"/>
      <c r="RI125" s="13"/>
      <c r="RJ125" s="13"/>
      <c r="RK125" s="13"/>
      <c r="RL125" s="13"/>
      <c r="RM125" s="13"/>
      <c r="RN125" s="13"/>
      <c r="RO125" s="13"/>
      <c r="RP125" s="13"/>
      <c r="RQ125" s="13"/>
      <c r="RR125" s="13"/>
      <c r="RS125" s="13"/>
      <c r="RT125" s="13"/>
      <c r="RU125" s="13"/>
      <c r="RV125" s="13"/>
      <c r="RW125" s="13"/>
      <c r="RX125" s="13"/>
      <c r="RY125" s="13"/>
      <c r="RZ125" s="13"/>
      <c r="SA125" s="13"/>
      <c r="SB125" s="13"/>
      <c r="SC125" s="13"/>
      <c r="SD125" s="13"/>
      <c r="SE125" s="13"/>
      <c r="SF125" s="13"/>
      <c r="SG125" s="13"/>
      <c r="SH125" s="13"/>
      <c r="SI125" s="13"/>
      <c r="SJ125" s="13"/>
      <c r="SK125" s="13"/>
      <c r="SL125" s="13"/>
      <c r="SM125" s="13"/>
      <c r="SN125" s="13"/>
      <c r="SO125" s="13"/>
      <c r="SP125" s="13"/>
      <c r="SQ125" s="13"/>
      <c r="SR125" s="13"/>
      <c r="SS125" s="13"/>
      <c r="ST125" s="13"/>
      <c r="SU125" s="13"/>
      <c r="SV125" s="13"/>
      <c r="SW125" s="13"/>
      <c r="SX125" s="13"/>
      <c r="SY125" s="13"/>
      <c r="SZ125" s="13"/>
      <c r="TA125" s="13"/>
      <c r="TB125" s="13"/>
      <c r="TC125" s="13"/>
      <c r="TD125" s="13"/>
      <c r="TE125" s="13"/>
      <c r="TF125" s="13"/>
      <c r="TG125" s="13"/>
      <c r="TH125" s="13"/>
      <c r="TI125" s="13"/>
      <c r="TJ125" s="13"/>
      <c r="TK125" s="13"/>
      <c r="TL125" s="13"/>
      <c r="TM125" s="13"/>
      <c r="TN125" s="13"/>
      <c r="TO125" s="13"/>
      <c r="TP125" s="13"/>
      <c r="TQ125" s="13"/>
      <c r="TR125" s="13"/>
      <c r="TS125" s="13"/>
      <c r="TT125" s="13"/>
      <c r="TU125" s="13"/>
      <c r="TV125" s="13"/>
      <c r="TW125" s="13"/>
      <c r="TX125" s="13"/>
      <c r="TY125" s="13"/>
      <c r="TZ125" s="13"/>
      <c r="UA125" s="13"/>
      <c r="UB125" s="13"/>
      <c r="UC125" s="13"/>
      <c r="UD125" s="13"/>
      <c r="UE125" s="13"/>
      <c r="UF125" s="13"/>
      <c r="UG125" s="13"/>
      <c r="UH125" s="13"/>
      <c r="UI125" s="13"/>
      <c r="UJ125" s="13"/>
      <c r="UK125" s="13"/>
      <c r="UL125" s="13"/>
      <c r="UM125" s="13"/>
      <c r="UN125" s="13"/>
      <c r="UO125" s="13"/>
      <c r="UP125" s="13"/>
      <c r="UQ125" s="13"/>
      <c r="UR125" s="13"/>
      <c r="US125" s="13"/>
      <c r="UT125" s="13"/>
      <c r="UU125" s="13"/>
      <c r="UV125" s="13"/>
      <c r="UW125" s="13"/>
      <c r="UX125" s="13"/>
      <c r="UY125" s="13"/>
      <c r="UZ125" s="13"/>
      <c r="VA125" s="13"/>
      <c r="VB125" s="13"/>
      <c r="VC125" s="13"/>
      <c r="VD125" s="13"/>
      <c r="VE125" s="13"/>
      <c r="VF125" s="13"/>
      <c r="VG125" s="13"/>
      <c r="VH125" s="13"/>
      <c r="VI125" s="13"/>
      <c r="VJ125" s="13"/>
      <c r="VK125" s="13"/>
      <c r="VL125" s="13"/>
      <c r="VM125" s="13"/>
      <c r="VN125" s="13"/>
      <c r="VO125" s="13"/>
      <c r="VP125" s="13"/>
      <c r="VQ125" s="13"/>
      <c r="VR125" s="13"/>
      <c r="VS125" s="13"/>
      <c r="VT125" s="13"/>
    </row>
    <row r="126" spans="1:592" s="27" customFormat="1" ht="21" x14ac:dyDescent="0.2">
      <c r="A126" s="10" t="s">
        <v>373</v>
      </c>
      <c r="B126" s="11">
        <v>8848254</v>
      </c>
      <c r="C126" s="11" t="s">
        <v>374</v>
      </c>
      <c r="D126" s="11">
        <v>3661910</v>
      </c>
      <c r="E126" s="228" t="s">
        <v>314</v>
      </c>
      <c r="F126" s="192" t="s">
        <v>300</v>
      </c>
      <c r="G126" s="201">
        <f>IFERROR(VLOOKUP(D126,List1!$A$5:$B$227,2,FALSE),"0")</f>
        <v>931000</v>
      </c>
      <c r="H126" s="41" t="str">
        <f>IFERROR(VLOOKUP(D126,List1!$D$5:$E$41,2,FALSE),"0")</f>
        <v>0</v>
      </c>
      <c r="I126" s="41" t="str">
        <f>IFERROR(VLOOKUP(D126,List1!$G$5:$H$227,2,FALSE),"0")</f>
        <v>0</v>
      </c>
      <c r="J126" s="40">
        <f t="shared" si="10"/>
        <v>931000</v>
      </c>
      <c r="K126" s="41">
        <f>IFERROR(VLOOKUP(D126,List1!$J$5:$K$227,2,FALSE),"0")</f>
        <v>43000</v>
      </c>
      <c r="L126" s="41">
        <f>IFERROR(VLOOKUP(D126,List1!$M$5:$N$112,2,FALSE),"0")</f>
        <v>18000</v>
      </c>
      <c r="M126" s="43">
        <v>0</v>
      </c>
      <c r="N126" s="80">
        <f>VLOOKUP($D$5:$D$251,List2!$A$2:$B$241,2,FALSE)</f>
        <v>79054</v>
      </c>
      <c r="O126" s="80">
        <f>IFERROR(VLOOKUP($D$5:$D$260,List1!$Y$5:$Z$244,2,FALSE),0)</f>
        <v>0</v>
      </c>
      <c r="P126" s="202">
        <f>IFERROR(VLOOKUP($D$5:$D$260,List1!$AB$5:$AC$244,2,FALSE),0)</f>
        <v>0</v>
      </c>
      <c r="Q126" s="201">
        <f>IFERROR(VLOOKUP($D$5:$D$260,List1!$S$5:$T$231,2,FALSE),0)</f>
        <v>895161</v>
      </c>
      <c r="R126" s="41">
        <v>0</v>
      </c>
      <c r="S126" s="41">
        <f>IFERROR(VLOOKUP($D$5:$D$260,List1!$AE$5:$AF$231,2,FALSE),0)</f>
        <v>250000</v>
      </c>
      <c r="T126" s="41">
        <f t="shared" si="11"/>
        <v>1145161</v>
      </c>
      <c r="U126" s="41">
        <f>IFERROR(VLOOKUP(D126,List1!$P$5:$Q$110,2,FALSE),"0")</f>
        <v>116000</v>
      </c>
      <c r="V126" s="41">
        <v>0</v>
      </c>
      <c r="W126" s="248">
        <v>0</v>
      </c>
      <c r="X126" s="211">
        <f t="shared" si="12"/>
        <v>1261161</v>
      </c>
      <c r="Y126" s="219"/>
      <c r="Z126" s="80">
        <f>IFERROR(VLOOKUP($D$5:$D$260,#REF!,3,FALSE),0)</f>
        <v>0</v>
      </c>
      <c r="AA126" s="80">
        <f>IFERROR(VLOOKUP($D$5:$D$260,#REF!,3,FALSE),0)</f>
        <v>0</v>
      </c>
      <c r="AB126" s="243">
        <v>0</v>
      </c>
      <c r="AC126" s="202">
        <f t="shared" si="13"/>
        <v>0</v>
      </c>
      <c r="AD126" s="259">
        <f t="shared" si="14"/>
        <v>-116000</v>
      </c>
      <c r="AE126" s="260">
        <f t="shared" si="15"/>
        <v>-1</v>
      </c>
      <c r="AF126" s="260">
        <f t="shared" si="16"/>
        <v>-1</v>
      </c>
      <c r="AG126" s="260">
        <f t="shared" si="17"/>
        <v>-1</v>
      </c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  <c r="IT126" s="13"/>
      <c r="IU126" s="13"/>
      <c r="IV126" s="13"/>
      <c r="IW126" s="13"/>
      <c r="IX126" s="13"/>
      <c r="IY126" s="13"/>
      <c r="IZ126" s="13"/>
      <c r="JA126" s="13"/>
      <c r="JB126" s="13"/>
      <c r="JC126" s="13"/>
      <c r="JD126" s="13"/>
      <c r="JE126" s="13"/>
      <c r="JF126" s="13"/>
      <c r="JG126" s="13"/>
      <c r="JH126" s="13"/>
      <c r="JI126" s="13"/>
      <c r="JJ126" s="13"/>
      <c r="JK126" s="13"/>
      <c r="JL126" s="13"/>
      <c r="JM126" s="13"/>
      <c r="JN126" s="13"/>
      <c r="JO126" s="13"/>
      <c r="JP126" s="13"/>
      <c r="JQ126" s="13"/>
      <c r="JR126" s="13"/>
      <c r="JS126" s="13"/>
      <c r="JT126" s="13"/>
      <c r="JU126" s="13"/>
      <c r="JV126" s="13"/>
      <c r="JW126" s="13"/>
      <c r="JX126" s="13"/>
      <c r="JY126" s="13"/>
      <c r="JZ126" s="13"/>
      <c r="KA126" s="13"/>
      <c r="KB126" s="13"/>
      <c r="KC126" s="13"/>
      <c r="KD126" s="13"/>
      <c r="KE126" s="13"/>
      <c r="KF126" s="13"/>
      <c r="KG126" s="13"/>
      <c r="KH126" s="13"/>
      <c r="KI126" s="13"/>
      <c r="KJ126" s="13"/>
      <c r="KK126" s="13"/>
      <c r="KL126" s="13"/>
      <c r="KM126" s="13"/>
      <c r="KN126" s="13"/>
      <c r="KO126" s="13"/>
      <c r="KP126" s="13"/>
      <c r="KQ126" s="13"/>
      <c r="KR126" s="13"/>
      <c r="KS126" s="13"/>
      <c r="KT126" s="13"/>
      <c r="KU126" s="13"/>
      <c r="KV126" s="13"/>
      <c r="KW126" s="13"/>
      <c r="KX126" s="13"/>
      <c r="KY126" s="13"/>
      <c r="KZ126" s="13"/>
      <c r="LA126" s="13"/>
      <c r="LB126" s="13"/>
      <c r="LC126" s="13"/>
      <c r="LD126" s="13"/>
      <c r="LE126" s="13"/>
      <c r="LF126" s="13"/>
      <c r="LG126" s="13"/>
      <c r="LH126" s="13"/>
      <c r="LI126" s="13"/>
      <c r="LJ126" s="13"/>
      <c r="LK126" s="13"/>
      <c r="LL126" s="13"/>
      <c r="LM126" s="13"/>
      <c r="LN126" s="13"/>
      <c r="LO126" s="13"/>
      <c r="LP126" s="13"/>
      <c r="LQ126" s="13"/>
      <c r="LR126" s="13"/>
      <c r="LS126" s="13"/>
      <c r="LT126" s="13"/>
      <c r="LU126" s="13"/>
      <c r="LV126" s="13"/>
      <c r="LW126" s="13"/>
      <c r="LX126" s="13"/>
      <c r="LY126" s="13"/>
      <c r="LZ126" s="13"/>
      <c r="MA126" s="13"/>
      <c r="MB126" s="13"/>
      <c r="MC126" s="13"/>
      <c r="MD126" s="13"/>
      <c r="ME126" s="13"/>
      <c r="MF126" s="13"/>
      <c r="MG126" s="13"/>
      <c r="MH126" s="13"/>
      <c r="MI126" s="13"/>
      <c r="MJ126" s="13"/>
      <c r="MK126" s="13"/>
      <c r="ML126" s="13"/>
      <c r="MM126" s="13"/>
      <c r="MN126" s="13"/>
      <c r="MO126" s="13"/>
      <c r="MP126" s="13"/>
      <c r="MQ126" s="13"/>
      <c r="MR126" s="13"/>
      <c r="MS126" s="13"/>
      <c r="MT126" s="13"/>
      <c r="MU126" s="13"/>
      <c r="MV126" s="13"/>
      <c r="MW126" s="13"/>
      <c r="MX126" s="13"/>
      <c r="MY126" s="13"/>
      <c r="MZ126" s="13"/>
      <c r="NA126" s="13"/>
      <c r="NB126" s="13"/>
      <c r="NC126" s="13"/>
      <c r="ND126" s="13"/>
      <c r="NE126" s="13"/>
      <c r="NF126" s="13"/>
      <c r="NG126" s="13"/>
      <c r="NH126" s="13"/>
      <c r="NI126" s="13"/>
      <c r="NJ126" s="13"/>
      <c r="NK126" s="13"/>
      <c r="NL126" s="13"/>
      <c r="NM126" s="13"/>
      <c r="NN126" s="13"/>
      <c r="NO126" s="13"/>
      <c r="NP126" s="13"/>
      <c r="NQ126" s="13"/>
      <c r="NR126" s="13"/>
      <c r="NS126" s="13"/>
      <c r="NT126" s="13"/>
      <c r="NU126" s="13"/>
      <c r="NV126" s="13"/>
      <c r="NW126" s="13"/>
      <c r="NX126" s="13"/>
      <c r="NY126" s="13"/>
      <c r="NZ126" s="13"/>
      <c r="OA126" s="13"/>
      <c r="OB126" s="13"/>
      <c r="OC126" s="13"/>
      <c r="OD126" s="13"/>
      <c r="OE126" s="13"/>
      <c r="OF126" s="13"/>
      <c r="OG126" s="13"/>
      <c r="OH126" s="13"/>
      <c r="OI126" s="13"/>
      <c r="OJ126" s="13"/>
      <c r="OK126" s="13"/>
      <c r="OL126" s="13"/>
      <c r="OM126" s="13"/>
      <c r="ON126" s="13"/>
      <c r="OO126" s="13"/>
      <c r="OP126" s="13"/>
      <c r="OQ126" s="13"/>
      <c r="OR126" s="13"/>
      <c r="OS126" s="13"/>
      <c r="OT126" s="13"/>
      <c r="OU126" s="13"/>
      <c r="OV126" s="13"/>
      <c r="OW126" s="13"/>
      <c r="OX126" s="13"/>
      <c r="OY126" s="13"/>
      <c r="OZ126" s="13"/>
      <c r="PA126" s="13"/>
      <c r="PB126" s="13"/>
      <c r="PC126" s="13"/>
      <c r="PD126" s="13"/>
      <c r="PE126" s="13"/>
      <c r="PF126" s="13"/>
      <c r="PG126" s="13"/>
      <c r="PH126" s="13"/>
      <c r="PI126" s="13"/>
      <c r="PJ126" s="13"/>
      <c r="PK126" s="13"/>
      <c r="PL126" s="13"/>
      <c r="PM126" s="13"/>
      <c r="PN126" s="13"/>
      <c r="PO126" s="13"/>
      <c r="PP126" s="13"/>
      <c r="PQ126" s="13"/>
      <c r="PR126" s="13"/>
      <c r="PS126" s="13"/>
      <c r="PT126" s="13"/>
      <c r="PU126" s="13"/>
      <c r="PV126" s="13"/>
      <c r="PW126" s="13"/>
      <c r="PX126" s="13"/>
      <c r="PY126" s="13"/>
      <c r="PZ126" s="13"/>
      <c r="QA126" s="13"/>
      <c r="QB126" s="13"/>
      <c r="QC126" s="13"/>
      <c r="QD126" s="13"/>
      <c r="QE126" s="13"/>
      <c r="QF126" s="13"/>
      <c r="QG126" s="13"/>
      <c r="QH126" s="13"/>
      <c r="QI126" s="13"/>
      <c r="QJ126" s="13"/>
      <c r="QK126" s="13"/>
      <c r="QL126" s="13"/>
      <c r="QM126" s="13"/>
      <c r="QN126" s="13"/>
      <c r="QO126" s="13"/>
      <c r="QP126" s="13"/>
      <c r="QQ126" s="13"/>
      <c r="QR126" s="13"/>
      <c r="QS126" s="13"/>
      <c r="QT126" s="13"/>
      <c r="QU126" s="13"/>
      <c r="QV126" s="13"/>
      <c r="QW126" s="13"/>
      <c r="QX126" s="13"/>
      <c r="QY126" s="13"/>
      <c r="QZ126" s="13"/>
      <c r="RA126" s="13"/>
      <c r="RB126" s="13"/>
      <c r="RC126" s="13"/>
      <c r="RD126" s="13"/>
      <c r="RE126" s="13"/>
      <c r="RF126" s="13"/>
      <c r="RG126" s="13"/>
      <c r="RH126" s="13"/>
      <c r="RI126" s="13"/>
      <c r="RJ126" s="13"/>
      <c r="RK126" s="13"/>
      <c r="RL126" s="13"/>
      <c r="RM126" s="13"/>
      <c r="RN126" s="13"/>
      <c r="RO126" s="13"/>
      <c r="RP126" s="13"/>
      <c r="RQ126" s="13"/>
      <c r="RR126" s="13"/>
      <c r="RS126" s="13"/>
      <c r="RT126" s="13"/>
      <c r="RU126" s="13"/>
      <c r="RV126" s="13"/>
      <c r="RW126" s="13"/>
      <c r="RX126" s="13"/>
      <c r="RY126" s="13"/>
      <c r="RZ126" s="13"/>
      <c r="SA126" s="13"/>
      <c r="SB126" s="13"/>
      <c r="SC126" s="13"/>
      <c r="SD126" s="13"/>
      <c r="SE126" s="13"/>
      <c r="SF126" s="13"/>
      <c r="SG126" s="13"/>
      <c r="SH126" s="13"/>
      <c r="SI126" s="13"/>
      <c r="SJ126" s="13"/>
      <c r="SK126" s="13"/>
      <c r="SL126" s="13"/>
      <c r="SM126" s="13"/>
      <c r="SN126" s="13"/>
      <c r="SO126" s="13"/>
      <c r="SP126" s="13"/>
      <c r="SQ126" s="13"/>
      <c r="SR126" s="13"/>
      <c r="SS126" s="13"/>
      <c r="ST126" s="13"/>
      <c r="SU126" s="13"/>
      <c r="SV126" s="13"/>
      <c r="SW126" s="13"/>
      <c r="SX126" s="13"/>
      <c r="SY126" s="13"/>
      <c r="SZ126" s="13"/>
      <c r="TA126" s="13"/>
      <c r="TB126" s="13"/>
      <c r="TC126" s="13"/>
      <c r="TD126" s="13"/>
      <c r="TE126" s="13"/>
      <c r="TF126" s="13"/>
      <c r="TG126" s="13"/>
      <c r="TH126" s="13"/>
      <c r="TI126" s="13"/>
      <c r="TJ126" s="13"/>
      <c r="TK126" s="13"/>
      <c r="TL126" s="13"/>
      <c r="TM126" s="13"/>
      <c r="TN126" s="13"/>
      <c r="TO126" s="13"/>
      <c r="TP126" s="13"/>
      <c r="TQ126" s="13"/>
      <c r="TR126" s="13"/>
      <c r="TS126" s="13"/>
      <c r="TT126" s="13"/>
      <c r="TU126" s="13"/>
      <c r="TV126" s="13"/>
      <c r="TW126" s="13"/>
      <c r="TX126" s="13"/>
      <c r="TY126" s="13"/>
      <c r="TZ126" s="13"/>
      <c r="UA126" s="13"/>
      <c r="UB126" s="13"/>
      <c r="UC126" s="13"/>
      <c r="UD126" s="13"/>
      <c r="UE126" s="13"/>
      <c r="UF126" s="13"/>
      <c r="UG126" s="13"/>
      <c r="UH126" s="13"/>
      <c r="UI126" s="13"/>
      <c r="UJ126" s="13"/>
      <c r="UK126" s="13"/>
      <c r="UL126" s="13"/>
      <c r="UM126" s="13"/>
      <c r="UN126" s="13"/>
      <c r="UO126" s="13"/>
      <c r="UP126" s="13"/>
      <c r="UQ126" s="13"/>
      <c r="UR126" s="13"/>
      <c r="US126" s="13"/>
      <c r="UT126" s="13"/>
      <c r="UU126" s="13"/>
      <c r="UV126" s="13"/>
      <c r="UW126" s="13"/>
      <c r="UX126" s="13"/>
      <c r="UY126" s="13"/>
      <c r="UZ126" s="13"/>
      <c r="VA126" s="13"/>
      <c r="VB126" s="13"/>
      <c r="VC126" s="13"/>
      <c r="VD126" s="13"/>
      <c r="VE126" s="13"/>
      <c r="VF126" s="13"/>
      <c r="VG126" s="13"/>
      <c r="VH126" s="13"/>
      <c r="VI126" s="13"/>
      <c r="VJ126" s="13"/>
      <c r="VK126" s="13"/>
      <c r="VL126" s="13"/>
      <c r="VM126" s="13"/>
      <c r="VN126" s="13"/>
      <c r="VO126" s="13"/>
      <c r="VP126" s="13"/>
      <c r="VQ126" s="13"/>
      <c r="VR126" s="13"/>
      <c r="VS126" s="13"/>
      <c r="VT126" s="13"/>
    </row>
    <row r="127" spans="1:592" s="13" customFormat="1" ht="21" x14ac:dyDescent="0.2">
      <c r="A127" s="10" t="s">
        <v>222</v>
      </c>
      <c r="B127" s="12">
        <v>7934335</v>
      </c>
      <c r="C127" s="12" t="s">
        <v>372</v>
      </c>
      <c r="D127" s="12">
        <v>8935632</v>
      </c>
      <c r="E127" s="228" t="s">
        <v>330</v>
      </c>
      <c r="F127" s="192" t="s">
        <v>300</v>
      </c>
      <c r="G127" s="201">
        <f>IFERROR(VLOOKUP(D127,List1!$A$5:$B$227,2,FALSE),"0")</f>
        <v>1238000</v>
      </c>
      <c r="H127" s="41" t="str">
        <f>IFERROR(VLOOKUP(D127,List1!$D$5:$E$41,2,FALSE),"0")</f>
        <v>0</v>
      </c>
      <c r="I127" s="41">
        <f>IFERROR(VLOOKUP(D127,List1!$G$5:$H$227,2,FALSE),"0")</f>
        <v>246346</v>
      </c>
      <c r="J127" s="40">
        <f t="shared" si="10"/>
        <v>1484346</v>
      </c>
      <c r="K127" s="41">
        <f>IFERROR(VLOOKUP(D127,List1!$J$5:$K$227,2,FALSE),"0")</f>
        <v>64000</v>
      </c>
      <c r="L127" s="41">
        <f>IFERROR(VLOOKUP(D127,List1!$M$5:$N$112,2,FALSE),"0")</f>
        <v>27000</v>
      </c>
      <c r="M127" s="43">
        <v>0</v>
      </c>
      <c r="N127" s="80">
        <f>VLOOKUP($D$5:$D$251,List2!$A$2:$B$241,2,FALSE)</f>
        <v>104702</v>
      </c>
      <c r="O127" s="80">
        <f>IFERROR(VLOOKUP($D$5:$D$260,List1!$Y$5:$Z$244,2,FALSE),0)</f>
        <v>0</v>
      </c>
      <c r="P127" s="202">
        <f>IFERROR(VLOOKUP($D$5:$D$260,List1!$AB$5:$AC$244,2,FALSE),0)</f>
        <v>0</v>
      </c>
      <c r="Q127" s="201">
        <f>IFERROR(VLOOKUP($D$5:$D$260,List1!$S$5:$T$231,2,FALSE),0)</f>
        <v>1410188</v>
      </c>
      <c r="R127" s="41">
        <v>0</v>
      </c>
      <c r="S127" s="41">
        <f>IFERROR(VLOOKUP($D$5:$D$260,List1!$AE$5:$AF$231,2,FALSE),0)</f>
        <v>400000</v>
      </c>
      <c r="T127" s="41">
        <f t="shared" si="11"/>
        <v>1810188</v>
      </c>
      <c r="U127" s="41">
        <f>IFERROR(VLOOKUP(D127,List1!$P$5:$Q$110,2,FALSE),"0")</f>
        <v>174000</v>
      </c>
      <c r="V127" s="41">
        <v>0</v>
      </c>
      <c r="W127" s="248">
        <v>0</v>
      </c>
      <c r="X127" s="211">
        <f t="shared" si="12"/>
        <v>1984188</v>
      </c>
      <c r="Y127" s="219"/>
      <c r="Z127" s="80">
        <f>IFERROR(VLOOKUP($D$5:$D$260,#REF!,3,FALSE),0)</f>
        <v>0</v>
      </c>
      <c r="AA127" s="80">
        <f>IFERROR(VLOOKUP($D$5:$D$260,#REF!,3,FALSE),0)</f>
        <v>0</v>
      </c>
      <c r="AB127" s="243">
        <v>0</v>
      </c>
      <c r="AC127" s="202">
        <f t="shared" si="13"/>
        <v>0</v>
      </c>
      <c r="AD127" s="259">
        <f t="shared" si="14"/>
        <v>-174000</v>
      </c>
      <c r="AE127" s="260">
        <f t="shared" si="15"/>
        <v>-1</v>
      </c>
      <c r="AF127" s="260">
        <f t="shared" si="16"/>
        <v>-1</v>
      </c>
      <c r="AG127" s="260">
        <f t="shared" si="17"/>
        <v>-1</v>
      </c>
    </row>
    <row r="128" spans="1:592" s="13" customFormat="1" ht="21" x14ac:dyDescent="0.2">
      <c r="A128" s="10" t="s">
        <v>113</v>
      </c>
      <c r="B128" s="15" t="s">
        <v>375</v>
      </c>
      <c r="C128" s="11" t="s">
        <v>288</v>
      </c>
      <c r="D128" s="11">
        <v>7734736</v>
      </c>
      <c r="E128" s="225" t="s">
        <v>325</v>
      </c>
      <c r="F128" s="192" t="s">
        <v>294</v>
      </c>
      <c r="G128" s="201">
        <f>IFERROR(VLOOKUP(D128,List1!$A$5:$B$227,2,FALSE),"0")</f>
        <v>2485000</v>
      </c>
      <c r="H128" s="41">
        <f>IFERROR(VLOOKUP(D128,List1!$D$5:$E$41,2,FALSE),"0")</f>
        <v>1098090</v>
      </c>
      <c r="I128" s="41">
        <f>IFERROR(VLOOKUP(D128,List1!$G$5:$H$227,2,FALSE),"0")</f>
        <v>566330</v>
      </c>
      <c r="J128" s="40">
        <f t="shared" si="10"/>
        <v>4149420</v>
      </c>
      <c r="K128" s="41">
        <f>IFERROR(VLOOKUP(D128,List1!$J$5:$K$227,2,FALSE),"0")</f>
        <v>134000</v>
      </c>
      <c r="L128" s="41">
        <f>IFERROR(VLOOKUP(D128,List1!$M$5:$N$112,2,FALSE),"0")</f>
        <v>56000</v>
      </c>
      <c r="M128" s="43">
        <v>0</v>
      </c>
      <c r="N128" s="80">
        <f>VLOOKUP($D$5:$D$251,List2!$A$2:$B$241,2,FALSE)</f>
        <v>137066</v>
      </c>
      <c r="O128" s="80">
        <f>IFERROR(VLOOKUP($D$5:$D$260,List1!$Y$5:$Z$244,2,FALSE),0)</f>
        <v>0</v>
      </c>
      <c r="P128" s="202">
        <f>IFERROR(VLOOKUP($D$5:$D$260,List1!$AB$5:$AC$244,2,FALSE),0)</f>
        <v>0</v>
      </c>
      <c r="Q128" s="201">
        <f>IFERROR(VLOOKUP($D$5:$D$260,List1!$S$5:$T$231,2,FALSE),0)</f>
        <v>2744336</v>
      </c>
      <c r="R128" s="41">
        <v>0</v>
      </c>
      <c r="S128" s="41">
        <f>IFERROR(VLOOKUP($D$5:$D$260,List1!$AE$5:$AF$231,2,FALSE),0)</f>
        <v>550000</v>
      </c>
      <c r="T128" s="41">
        <f t="shared" si="11"/>
        <v>3294336</v>
      </c>
      <c r="U128" s="41">
        <f>IFERROR(VLOOKUP(D128,List1!$P$5:$Q$110,2,FALSE),"0")</f>
        <v>490000</v>
      </c>
      <c r="V128" s="41">
        <v>0</v>
      </c>
      <c r="W128" s="248">
        <v>0</v>
      </c>
      <c r="X128" s="211">
        <f t="shared" si="12"/>
        <v>3784336</v>
      </c>
      <c r="Y128" s="219"/>
      <c r="Z128" s="80">
        <f>IFERROR(VLOOKUP($D$5:$D$260,#REF!,3,FALSE),0)</f>
        <v>0</v>
      </c>
      <c r="AA128" s="80">
        <f>IFERROR(VLOOKUP($D$5:$D$260,#REF!,3,FALSE),0)</f>
        <v>0</v>
      </c>
      <c r="AB128" s="243">
        <v>0</v>
      </c>
      <c r="AC128" s="202">
        <f t="shared" si="13"/>
        <v>0</v>
      </c>
      <c r="AD128" s="259">
        <f t="shared" si="14"/>
        <v>-490000</v>
      </c>
      <c r="AE128" s="260">
        <f t="shared" si="15"/>
        <v>-1</v>
      </c>
      <c r="AF128" s="260">
        <f t="shared" si="16"/>
        <v>-1</v>
      </c>
      <c r="AG128" s="260">
        <f t="shared" si="17"/>
        <v>-1</v>
      </c>
    </row>
    <row r="129" spans="1:592" s="28" customFormat="1" ht="63" x14ac:dyDescent="0.2">
      <c r="A129" s="10" t="s">
        <v>376</v>
      </c>
      <c r="B129" s="11">
        <v>71173854</v>
      </c>
      <c r="C129" s="11" t="s">
        <v>324</v>
      </c>
      <c r="D129" s="11">
        <v>5285192</v>
      </c>
      <c r="E129" s="225" t="s">
        <v>321</v>
      </c>
      <c r="F129" s="192" t="s">
        <v>294</v>
      </c>
      <c r="G129" s="201">
        <f>IFERROR(VLOOKUP(D129,List1!$A$5:$B$227,2,FALSE),"0")</f>
        <v>394000</v>
      </c>
      <c r="H129" s="41" t="str">
        <f>IFERROR(VLOOKUP(D129,List1!$D$5:$E$41,2,FALSE),"0")</f>
        <v>0</v>
      </c>
      <c r="I129" s="41" t="str">
        <f>IFERROR(VLOOKUP(D129,List1!$G$5:$H$227,2,FALSE),"0")</f>
        <v>0</v>
      </c>
      <c r="J129" s="40">
        <f t="shared" si="10"/>
        <v>394000</v>
      </c>
      <c r="K129" s="41" t="str">
        <f>IFERROR(VLOOKUP(D129,List1!$J$5:$K$227,2,FALSE),"0")</f>
        <v>0</v>
      </c>
      <c r="L129" s="41" t="str">
        <f>IFERROR(VLOOKUP(D129,List1!$M$5:$N$112,2,FALSE),"0")</f>
        <v>0</v>
      </c>
      <c r="M129" s="43">
        <v>0</v>
      </c>
      <c r="N129" s="80">
        <f>VLOOKUP($D$5:$D$251,List2!$A$2:$B$241,2,FALSE)</f>
        <v>0</v>
      </c>
      <c r="O129" s="80">
        <f>IFERROR(VLOOKUP($D$5:$D$260,List1!$Y$5:$Z$244,2,FALSE),0)</f>
        <v>0</v>
      </c>
      <c r="P129" s="202">
        <f>IFERROR(VLOOKUP($D$5:$D$260,List1!$AB$5:$AC$244,2,FALSE),0)</f>
        <v>0</v>
      </c>
      <c r="Q129" s="201">
        <f>IFERROR(VLOOKUP($D$5:$D$260,List1!$S$5:$T$231,2,FALSE),0)</f>
        <v>445484</v>
      </c>
      <c r="R129" s="41">
        <v>0</v>
      </c>
      <c r="S129" s="41">
        <f>IFERROR(VLOOKUP($D$5:$D$260,List1!$AE$5:$AF$231,2,FALSE),0)</f>
        <v>100000</v>
      </c>
      <c r="T129" s="41">
        <f t="shared" si="11"/>
        <v>545484</v>
      </c>
      <c r="U129" s="41" t="str">
        <f>IFERROR(VLOOKUP(D129,List1!$P$5:$Q$110,2,FALSE),"0")</f>
        <v>0</v>
      </c>
      <c r="V129" s="41">
        <v>0</v>
      </c>
      <c r="W129" s="248">
        <v>0</v>
      </c>
      <c r="X129" s="211">
        <f t="shared" si="12"/>
        <v>545484</v>
      </c>
      <c r="Y129" s="219"/>
      <c r="Z129" s="80">
        <f>IFERROR(VLOOKUP($D$5:$D$260,#REF!,3,FALSE),0)</f>
        <v>0</v>
      </c>
      <c r="AA129" s="80">
        <f>IFERROR(VLOOKUP($D$5:$D$260,#REF!,3,FALSE),0)</f>
        <v>0</v>
      </c>
      <c r="AB129" s="243">
        <v>0</v>
      </c>
      <c r="AC129" s="202">
        <f t="shared" si="13"/>
        <v>0</v>
      </c>
      <c r="AD129" s="259">
        <f t="shared" si="14"/>
        <v>0</v>
      </c>
      <c r="AE129" s="260">
        <f t="shared" si="15"/>
        <v>0</v>
      </c>
      <c r="AF129" s="260">
        <f t="shared" si="16"/>
        <v>0</v>
      </c>
      <c r="AG129" s="260">
        <f t="shared" si="17"/>
        <v>0</v>
      </c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  <c r="IT129" s="13"/>
      <c r="IU129" s="13"/>
      <c r="IV129" s="13"/>
      <c r="IW129" s="13"/>
      <c r="IX129" s="13"/>
      <c r="IY129" s="13"/>
      <c r="IZ129" s="13"/>
      <c r="JA129" s="13"/>
      <c r="JB129" s="13"/>
      <c r="JC129" s="13"/>
      <c r="JD129" s="13"/>
      <c r="JE129" s="13"/>
      <c r="JF129" s="13"/>
      <c r="JG129" s="13"/>
      <c r="JH129" s="13"/>
      <c r="JI129" s="13"/>
      <c r="JJ129" s="13"/>
      <c r="JK129" s="13"/>
      <c r="JL129" s="13"/>
      <c r="JM129" s="13"/>
      <c r="JN129" s="13"/>
      <c r="JO129" s="13"/>
      <c r="JP129" s="13"/>
      <c r="JQ129" s="13"/>
      <c r="JR129" s="13"/>
      <c r="JS129" s="13"/>
      <c r="JT129" s="13"/>
      <c r="JU129" s="13"/>
      <c r="JV129" s="13"/>
      <c r="JW129" s="13"/>
      <c r="JX129" s="13"/>
      <c r="JY129" s="13"/>
      <c r="JZ129" s="13"/>
      <c r="KA129" s="13"/>
      <c r="KB129" s="13"/>
      <c r="KC129" s="13"/>
      <c r="KD129" s="13"/>
      <c r="KE129" s="13"/>
      <c r="KF129" s="13"/>
      <c r="KG129" s="13"/>
      <c r="KH129" s="13"/>
      <c r="KI129" s="13"/>
      <c r="KJ129" s="13"/>
      <c r="KK129" s="13"/>
      <c r="KL129" s="13"/>
      <c r="KM129" s="13"/>
      <c r="KN129" s="13"/>
      <c r="KO129" s="13"/>
      <c r="KP129" s="13"/>
      <c r="KQ129" s="13"/>
      <c r="KR129" s="13"/>
      <c r="KS129" s="13"/>
      <c r="KT129" s="13"/>
      <c r="KU129" s="13"/>
      <c r="KV129" s="13"/>
      <c r="KW129" s="13"/>
      <c r="KX129" s="13"/>
      <c r="KY129" s="13"/>
      <c r="KZ129" s="13"/>
      <c r="LA129" s="13"/>
      <c r="LB129" s="13"/>
      <c r="LC129" s="13"/>
      <c r="LD129" s="13"/>
      <c r="LE129" s="13"/>
      <c r="LF129" s="13"/>
      <c r="LG129" s="13"/>
      <c r="LH129" s="13"/>
      <c r="LI129" s="13"/>
      <c r="LJ129" s="13"/>
      <c r="LK129" s="13"/>
      <c r="LL129" s="13"/>
      <c r="LM129" s="13"/>
      <c r="LN129" s="13"/>
      <c r="LO129" s="13"/>
      <c r="LP129" s="13"/>
      <c r="LQ129" s="13"/>
      <c r="LR129" s="13"/>
      <c r="LS129" s="13"/>
      <c r="LT129" s="13"/>
      <c r="LU129" s="13"/>
      <c r="LV129" s="13"/>
      <c r="LW129" s="13"/>
      <c r="LX129" s="13"/>
      <c r="LY129" s="13"/>
      <c r="LZ129" s="13"/>
      <c r="MA129" s="13"/>
      <c r="MB129" s="13"/>
      <c r="MC129" s="13"/>
      <c r="MD129" s="13"/>
      <c r="ME129" s="13"/>
      <c r="MF129" s="13"/>
      <c r="MG129" s="13"/>
      <c r="MH129" s="13"/>
      <c r="MI129" s="13"/>
      <c r="MJ129" s="13"/>
      <c r="MK129" s="13"/>
      <c r="ML129" s="13"/>
      <c r="MM129" s="13"/>
      <c r="MN129" s="13"/>
      <c r="MO129" s="13"/>
      <c r="MP129" s="13"/>
      <c r="MQ129" s="13"/>
      <c r="MR129" s="13"/>
      <c r="MS129" s="13"/>
      <c r="MT129" s="13"/>
      <c r="MU129" s="13"/>
      <c r="MV129" s="13"/>
      <c r="MW129" s="13"/>
      <c r="MX129" s="13"/>
      <c r="MY129" s="13"/>
      <c r="MZ129" s="13"/>
      <c r="NA129" s="13"/>
      <c r="NB129" s="13"/>
      <c r="NC129" s="13"/>
      <c r="ND129" s="13"/>
      <c r="NE129" s="13"/>
      <c r="NF129" s="13"/>
      <c r="NG129" s="13"/>
      <c r="NH129" s="13"/>
      <c r="NI129" s="13"/>
      <c r="NJ129" s="13"/>
      <c r="NK129" s="13"/>
      <c r="NL129" s="13"/>
      <c r="NM129" s="13"/>
      <c r="NN129" s="13"/>
      <c r="NO129" s="13"/>
      <c r="NP129" s="13"/>
      <c r="NQ129" s="13"/>
      <c r="NR129" s="13"/>
      <c r="NS129" s="13"/>
      <c r="NT129" s="13"/>
      <c r="NU129" s="13"/>
      <c r="NV129" s="13"/>
      <c r="NW129" s="13"/>
      <c r="NX129" s="13"/>
      <c r="NY129" s="13"/>
      <c r="NZ129" s="13"/>
      <c r="OA129" s="13"/>
      <c r="OB129" s="13"/>
      <c r="OC129" s="13"/>
      <c r="OD129" s="13"/>
      <c r="OE129" s="13"/>
      <c r="OF129" s="13"/>
      <c r="OG129" s="13"/>
      <c r="OH129" s="13"/>
      <c r="OI129" s="13"/>
      <c r="OJ129" s="13"/>
      <c r="OK129" s="13"/>
      <c r="OL129" s="13"/>
      <c r="OM129" s="13"/>
      <c r="ON129" s="13"/>
      <c r="OO129" s="13"/>
      <c r="OP129" s="13"/>
      <c r="OQ129" s="13"/>
      <c r="OR129" s="13"/>
      <c r="OS129" s="13"/>
      <c r="OT129" s="13"/>
      <c r="OU129" s="13"/>
      <c r="OV129" s="13"/>
      <c r="OW129" s="13"/>
      <c r="OX129" s="13"/>
      <c r="OY129" s="13"/>
      <c r="OZ129" s="13"/>
      <c r="PA129" s="13"/>
      <c r="PB129" s="13"/>
      <c r="PC129" s="13"/>
      <c r="PD129" s="13"/>
      <c r="PE129" s="13"/>
      <c r="PF129" s="13"/>
      <c r="PG129" s="13"/>
      <c r="PH129" s="13"/>
      <c r="PI129" s="13"/>
      <c r="PJ129" s="13"/>
      <c r="PK129" s="13"/>
      <c r="PL129" s="13"/>
      <c r="PM129" s="13"/>
      <c r="PN129" s="13"/>
      <c r="PO129" s="13"/>
      <c r="PP129" s="13"/>
      <c r="PQ129" s="13"/>
      <c r="PR129" s="13"/>
      <c r="PS129" s="13"/>
      <c r="PT129" s="13"/>
      <c r="PU129" s="13"/>
      <c r="PV129" s="13"/>
      <c r="PW129" s="13"/>
      <c r="PX129" s="13"/>
      <c r="PY129" s="13"/>
      <c r="PZ129" s="13"/>
      <c r="QA129" s="13"/>
      <c r="QB129" s="13"/>
      <c r="QC129" s="13"/>
      <c r="QD129" s="13"/>
      <c r="QE129" s="13"/>
      <c r="QF129" s="13"/>
      <c r="QG129" s="13"/>
      <c r="QH129" s="13"/>
      <c r="QI129" s="13"/>
      <c r="QJ129" s="13"/>
      <c r="QK129" s="13"/>
      <c r="QL129" s="13"/>
      <c r="QM129" s="13"/>
      <c r="QN129" s="13"/>
      <c r="QO129" s="13"/>
      <c r="QP129" s="13"/>
      <c r="QQ129" s="13"/>
      <c r="QR129" s="13"/>
      <c r="QS129" s="13"/>
      <c r="QT129" s="13"/>
      <c r="QU129" s="13"/>
      <c r="QV129" s="13"/>
      <c r="QW129" s="13"/>
      <c r="QX129" s="13"/>
      <c r="QY129" s="13"/>
      <c r="QZ129" s="13"/>
      <c r="RA129" s="13"/>
      <c r="RB129" s="13"/>
      <c r="RC129" s="13"/>
      <c r="RD129" s="13"/>
      <c r="RE129" s="13"/>
      <c r="RF129" s="13"/>
      <c r="RG129" s="13"/>
      <c r="RH129" s="13"/>
      <c r="RI129" s="13"/>
      <c r="RJ129" s="13"/>
      <c r="RK129" s="13"/>
      <c r="RL129" s="13"/>
      <c r="RM129" s="13"/>
      <c r="RN129" s="13"/>
      <c r="RO129" s="13"/>
      <c r="RP129" s="13"/>
      <c r="RQ129" s="13"/>
      <c r="RR129" s="13"/>
      <c r="RS129" s="13"/>
      <c r="RT129" s="13"/>
      <c r="RU129" s="13"/>
      <c r="RV129" s="13"/>
      <c r="RW129" s="13"/>
      <c r="RX129" s="13"/>
      <c r="RY129" s="13"/>
      <c r="RZ129" s="13"/>
      <c r="SA129" s="13"/>
      <c r="SB129" s="13"/>
      <c r="SC129" s="13"/>
      <c r="SD129" s="13"/>
      <c r="SE129" s="13"/>
      <c r="SF129" s="13"/>
      <c r="SG129" s="13"/>
      <c r="SH129" s="13"/>
      <c r="SI129" s="13"/>
      <c r="SJ129" s="13"/>
      <c r="SK129" s="13"/>
      <c r="SL129" s="13"/>
      <c r="SM129" s="13"/>
      <c r="SN129" s="13"/>
      <c r="SO129" s="13"/>
      <c r="SP129" s="13"/>
      <c r="SQ129" s="13"/>
      <c r="SR129" s="13"/>
      <c r="SS129" s="13"/>
      <c r="ST129" s="13"/>
      <c r="SU129" s="13"/>
      <c r="SV129" s="13"/>
      <c r="SW129" s="13"/>
      <c r="SX129" s="13"/>
      <c r="SY129" s="13"/>
      <c r="SZ129" s="13"/>
      <c r="TA129" s="13"/>
      <c r="TB129" s="13"/>
      <c r="TC129" s="13"/>
      <c r="TD129" s="13"/>
      <c r="TE129" s="13"/>
      <c r="TF129" s="13"/>
      <c r="TG129" s="13"/>
      <c r="TH129" s="13"/>
      <c r="TI129" s="13"/>
      <c r="TJ129" s="13"/>
      <c r="TK129" s="13"/>
      <c r="TL129" s="13"/>
      <c r="TM129" s="13"/>
      <c r="TN129" s="13"/>
      <c r="TO129" s="13"/>
      <c r="TP129" s="13"/>
      <c r="TQ129" s="13"/>
      <c r="TR129" s="13"/>
      <c r="TS129" s="13"/>
      <c r="TT129" s="13"/>
      <c r="TU129" s="13"/>
      <c r="TV129" s="13"/>
      <c r="TW129" s="13"/>
      <c r="TX129" s="13"/>
      <c r="TY129" s="13"/>
      <c r="TZ129" s="13"/>
      <c r="UA129" s="13"/>
      <c r="UB129" s="13"/>
      <c r="UC129" s="13"/>
      <c r="UD129" s="13"/>
      <c r="UE129" s="13"/>
      <c r="UF129" s="13"/>
      <c r="UG129" s="13"/>
      <c r="UH129" s="13"/>
      <c r="UI129" s="13"/>
      <c r="UJ129" s="13"/>
      <c r="UK129" s="13"/>
      <c r="UL129" s="13"/>
      <c r="UM129" s="13"/>
      <c r="UN129" s="13"/>
      <c r="UO129" s="13"/>
      <c r="UP129" s="13"/>
      <c r="UQ129" s="13"/>
      <c r="UR129" s="13"/>
      <c r="US129" s="13"/>
      <c r="UT129" s="13"/>
      <c r="UU129" s="13"/>
      <c r="UV129" s="13"/>
      <c r="UW129" s="13"/>
      <c r="UX129" s="13"/>
      <c r="UY129" s="13"/>
      <c r="UZ129" s="13"/>
      <c r="VA129" s="13"/>
      <c r="VB129" s="13"/>
      <c r="VC129" s="13"/>
      <c r="VD129" s="13"/>
      <c r="VE129" s="13"/>
      <c r="VF129" s="13"/>
      <c r="VG129" s="13"/>
      <c r="VH129" s="13"/>
      <c r="VI129" s="13"/>
      <c r="VJ129" s="13"/>
      <c r="VK129" s="13"/>
      <c r="VL129" s="13"/>
      <c r="VM129" s="13"/>
      <c r="VN129" s="13"/>
      <c r="VO129" s="13"/>
      <c r="VP129" s="13"/>
      <c r="VQ129" s="13"/>
      <c r="VR129" s="13"/>
      <c r="VS129" s="13"/>
      <c r="VT129" s="13"/>
    </row>
    <row r="130" spans="1:592" s="13" customFormat="1" ht="63" x14ac:dyDescent="0.2">
      <c r="A130" s="10" t="s">
        <v>376</v>
      </c>
      <c r="B130" s="11">
        <v>71173854</v>
      </c>
      <c r="C130" s="11" t="s">
        <v>324</v>
      </c>
      <c r="D130" s="11">
        <v>5861633</v>
      </c>
      <c r="E130" s="225" t="s">
        <v>289</v>
      </c>
      <c r="F130" s="192" t="s">
        <v>269</v>
      </c>
      <c r="G130" s="201">
        <f>IFERROR(VLOOKUP(D130,List1!$A$5:$B$227,2,FALSE),"0")</f>
        <v>586000</v>
      </c>
      <c r="H130" s="41" t="str">
        <f>IFERROR(VLOOKUP(D130,List1!$D$5:$E$41,2,FALSE),"0")</f>
        <v>0</v>
      </c>
      <c r="I130" s="41" t="str">
        <f>IFERROR(VLOOKUP(D130,List1!$G$5:$H$227,2,FALSE),"0")</f>
        <v>0</v>
      </c>
      <c r="J130" s="40">
        <f t="shared" si="10"/>
        <v>586000</v>
      </c>
      <c r="K130" s="41" t="str">
        <f>IFERROR(VLOOKUP(D130,List1!$J$5:$K$227,2,FALSE),"0")</f>
        <v>0</v>
      </c>
      <c r="L130" s="41" t="str">
        <f>IFERROR(VLOOKUP(D130,List1!$M$5:$N$112,2,FALSE),"0")</f>
        <v>0</v>
      </c>
      <c r="M130" s="43">
        <v>0</v>
      </c>
      <c r="N130" s="80">
        <f>VLOOKUP($D$5:$D$251,List2!$A$2:$B$241,2,FALSE)</f>
        <v>0</v>
      </c>
      <c r="O130" s="80">
        <f>IFERROR(VLOOKUP($D$5:$D$260,List1!$Y$5:$Z$244,2,FALSE),0)</f>
        <v>0</v>
      </c>
      <c r="P130" s="202">
        <f>IFERROR(VLOOKUP($D$5:$D$260,List1!$AB$5:$AC$244,2,FALSE),0)</f>
        <v>0</v>
      </c>
      <c r="Q130" s="201">
        <f>IFERROR(VLOOKUP($D$5:$D$260,List1!$S$5:$T$231,2,FALSE),0)</f>
        <v>843901</v>
      </c>
      <c r="R130" s="41">
        <v>0</v>
      </c>
      <c r="S130" s="41">
        <f>IFERROR(VLOOKUP($D$5:$D$260,List1!$AE$5:$AF$231,2,FALSE),0)</f>
        <v>200000</v>
      </c>
      <c r="T130" s="41">
        <f t="shared" si="11"/>
        <v>1043901</v>
      </c>
      <c r="U130" s="41" t="str">
        <f>IFERROR(VLOOKUP(D130,List1!$P$5:$Q$110,2,FALSE),"0")</f>
        <v>0</v>
      </c>
      <c r="V130" s="41">
        <v>0</v>
      </c>
      <c r="W130" s="248">
        <v>0</v>
      </c>
      <c r="X130" s="211">
        <f t="shared" si="12"/>
        <v>1043901</v>
      </c>
      <c r="Y130" s="219"/>
      <c r="Z130" s="80">
        <f>IFERROR(VLOOKUP($D$5:$D$260,#REF!,3,FALSE),0)</f>
        <v>0</v>
      </c>
      <c r="AA130" s="80">
        <f>IFERROR(VLOOKUP($D$5:$D$260,#REF!,3,FALSE),0)</f>
        <v>0</v>
      </c>
      <c r="AB130" s="243">
        <v>0</v>
      </c>
      <c r="AC130" s="202">
        <f t="shared" si="13"/>
        <v>0</v>
      </c>
      <c r="AD130" s="259">
        <f t="shared" si="14"/>
        <v>0</v>
      </c>
      <c r="AE130" s="260">
        <f t="shared" si="15"/>
        <v>0</v>
      </c>
      <c r="AF130" s="260">
        <f t="shared" si="16"/>
        <v>0</v>
      </c>
      <c r="AG130" s="260">
        <f t="shared" si="17"/>
        <v>0</v>
      </c>
    </row>
    <row r="131" spans="1:592" s="22" customFormat="1" ht="31.5" x14ac:dyDescent="0.2">
      <c r="A131" s="10" t="s">
        <v>154</v>
      </c>
      <c r="B131" s="11">
        <v>25405080</v>
      </c>
      <c r="C131" s="11" t="s">
        <v>318</v>
      </c>
      <c r="D131" s="11">
        <v>4873800</v>
      </c>
      <c r="E131" s="225" t="s">
        <v>321</v>
      </c>
      <c r="F131" s="192" t="s">
        <v>294</v>
      </c>
      <c r="G131" s="201">
        <f>IFERROR(VLOOKUP(D131,List1!$A$5:$B$227,2,FALSE),"0")</f>
        <v>2580000</v>
      </c>
      <c r="H131" s="41">
        <f>IFERROR(VLOOKUP(D131,List1!$D$5:$E$41,2,FALSE),"0")</f>
        <v>160000</v>
      </c>
      <c r="I131" s="41">
        <f>IFERROR(VLOOKUP(D131,List1!$G$5:$H$227,2,FALSE),"0")</f>
        <v>649714</v>
      </c>
      <c r="J131" s="40">
        <f t="shared" si="10"/>
        <v>3389714</v>
      </c>
      <c r="K131" s="41">
        <f>IFERROR(VLOOKUP(D131,List1!$J$5:$K$227,2,FALSE),"0")</f>
        <v>180000</v>
      </c>
      <c r="L131" s="41">
        <f>IFERROR(VLOOKUP(D131,List1!$M$5:$N$112,2,FALSE),"0")</f>
        <v>76000</v>
      </c>
      <c r="M131" s="43">
        <v>0</v>
      </c>
      <c r="N131" s="80">
        <f>VLOOKUP($D$5:$D$251,List2!$A$2:$B$241,2,FALSE)</f>
        <v>193141</v>
      </c>
      <c r="O131" s="80">
        <f>IFERROR(VLOOKUP($D$5:$D$260,List1!$Y$5:$Z$244,2,FALSE),0)</f>
        <v>0</v>
      </c>
      <c r="P131" s="202">
        <f>IFERROR(VLOOKUP($D$5:$D$260,List1!$AB$5:$AC$244,2,FALSE),0)</f>
        <v>0</v>
      </c>
      <c r="Q131" s="201">
        <f>IFERROR(VLOOKUP($D$5:$D$260,List1!$S$5:$T$231,2,FALSE),0)</f>
        <v>3176609</v>
      </c>
      <c r="R131" s="41">
        <v>0</v>
      </c>
      <c r="S131" s="41">
        <f>IFERROR(VLOOKUP($D$5:$D$260,List1!$AE$5:$AF$231,2,FALSE),0)</f>
        <v>650000</v>
      </c>
      <c r="T131" s="41">
        <f t="shared" si="11"/>
        <v>3826609</v>
      </c>
      <c r="U131" s="41">
        <f>IFERROR(VLOOKUP(D131,List1!$P$5:$Q$110,2,FALSE),"0")</f>
        <v>490000</v>
      </c>
      <c r="V131" s="41">
        <v>0</v>
      </c>
      <c r="W131" s="248">
        <v>0</v>
      </c>
      <c r="X131" s="211">
        <f t="shared" si="12"/>
        <v>4316609</v>
      </c>
      <c r="Y131" s="219"/>
      <c r="Z131" s="80">
        <f>IFERROR(VLOOKUP($D$5:$D$260,#REF!,3,FALSE),0)</f>
        <v>0</v>
      </c>
      <c r="AA131" s="80">
        <f>IFERROR(VLOOKUP($D$5:$D$260,#REF!,3,FALSE),0)</f>
        <v>0</v>
      </c>
      <c r="AB131" s="243">
        <v>0</v>
      </c>
      <c r="AC131" s="202">
        <f t="shared" si="13"/>
        <v>0</v>
      </c>
      <c r="AD131" s="259">
        <f t="shared" si="14"/>
        <v>-490000</v>
      </c>
      <c r="AE131" s="260">
        <f t="shared" si="15"/>
        <v>-1</v>
      </c>
      <c r="AF131" s="260">
        <f t="shared" si="16"/>
        <v>-1</v>
      </c>
      <c r="AG131" s="260">
        <f t="shared" si="17"/>
        <v>-1</v>
      </c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  <c r="IS131" s="13"/>
      <c r="IT131" s="13"/>
      <c r="IU131" s="13"/>
      <c r="IV131" s="13"/>
      <c r="IW131" s="13"/>
      <c r="IX131" s="13"/>
      <c r="IY131" s="13"/>
      <c r="IZ131" s="13"/>
      <c r="JA131" s="13"/>
      <c r="JB131" s="13"/>
      <c r="JC131" s="13"/>
      <c r="JD131" s="13"/>
      <c r="JE131" s="13"/>
      <c r="JF131" s="13"/>
      <c r="JG131" s="13"/>
      <c r="JH131" s="13"/>
      <c r="JI131" s="13"/>
      <c r="JJ131" s="13"/>
      <c r="JK131" s="13"/>
      <c r="JL131" s="13"/>
      <c r="JM131" s="13"/>
      <c r="JN131" s="13"/>
      <c r="JO131" s="13"/>
      <c r="JP131" s="13"/>
      <c r="JQ131" s="13"/>
      <c r="JR131" s="13"/>
      <c r="JS131" s="13"/>
      <c r="JT131" s="13"/>
      <c r="JU131" s="13"/>
      <c r="JV131" s="13"/>
      <c r="JW131" s="13"/>
      <c r="JX131" s="13"/>
      <c r="JY131" s="13"/>
      <c r="JZ131" s="13"/>
      <c r="KA131" s="13"/>
      <c r="KB131" s="13"/>
      <c r="KC131" s="13"/>
      <c r="KD131" s="13"/>
      <c r="KE131" s="13"/>
      <c r="KF131" s="13"/>
      <c r="KG131" s="13"/>
      <c r="KH131" s="13"/>
      <c r="KI131" s="13"/>
      <c r="KJ131" s="13"/>
      <c r="KK131" s="13"/>
      <c r="KL131" s="13"/>
      <c r="KM131" s="13"/>
      <c r="KN131" s="13"/>
      <c r="KO131" s="13"/>
      <c r="KP131" s="13"/>
      <c r="KQ131" s="13"/>
      <c r="KR131" s="13"/>
      <c r="KS131" s="13"/>
      <c r="KT131" s="13"/>
      <c r="KU131" s="13"/>
      <c r="KV131" s="13"/>
      <c r="KW131" s="13"/>
      <c r="KX131" s="13"/>
      <c r="KY131" s="13"/>
      <c r="KZ131" s="13"/>
      <c r="LA131" s="13"/>
      <c r="LB131" s="13"/>
      <c r="LC131" s="13"/>
      <c r="LD131" s="13"/>
      <c r="LE131" s="13"/>
      <c r="LF131" s="13"/>
      <c r="LG131" s="13"/>
      <c r="LH131" s="13"/>
      <c r="LI131" s="13"/>
      <c r="LJ131" s="13"/>
      <c r="LK131" s="13"/>
      <c r="LL131" s="13"/>
      <c r="LM131" s="13"/>
      <c r="LN131" s="13"/>
      <c r="LO131" s="13"/>
      <c r="LP131" s="13"/>
      <c r="LQ131" s="13"/>
      <c r="LR131" s="13"/>
      <c r="LS131" s="13"/>
      <c r="LT131" s="13"/>
      <c r="LU131" s="13"/>
      <c r="LV131" s="13"/>
      <c r="LW131" s="13"/>
      <c r="LX131" s="13"/>
      <c r="LY131" s="13"/>
      <c r="LZ131" s="13"/>
      <c r="MA131" s="13"/>
      <c r="MB131" s="13"/>
      <c r="MC131" s="13"/>
      <c r="MD131" s="13"/>
      <c r="ME131" s="13"/>
      <c r="MF131" s="13"/>
      <c r="MG131" s="13"/>
      <c r="MH131" s="13"/>
      <c r="MI131" s="13"/>
      <c r="MJ131" s="13"/>
      <c r="MK131" s="13"/>
      <c r="ML131" s="13"/>
      <c r="MM131" s="13"/>
      <c r="MN131" s="13"/>
      <c r="MO131" s="13"/>
      <c r="MP131" s="13"/>
      <c r="MQ131" s="13"/>
      <c r="MR131" s="13"/>
      <c r="MS131" s="13"/>
      <c r="MT131" s="13"/>
      <c r="MU131" s="13"/>
      <c r="MV131" s="13"/>
      <c r="MW131" s="13"/>
      <c r="MX131" s="13"/>
      <c r="MY131" s="13"/>
      <c r="MZ131" s="13"/>
      <c r="NA131" s="13"/>
      <c r="NB131" s="13"/>
      <c r="NC131" s="13"/>
      <c r="ND131" s="13"/>
      <c r="NE131" s="13"/>
      <c r="NF131" s="13"/>
      <c r="NG131" s="13"/>
      <c r="NH131" s="13"/>
      <c r="NI131" s="13"/>
      <c r="NJ131" s="13"/>
      <c r="NK131" s="13"/>
      <c r="NL131" s="13"/>
      <c r="NM131" s="13"/>
      <c r="NN131" s="13"/>
      <c r="NO131" s="13"/>
      <c r="NP131" s="13"/>
      <c r="NQ131" s="13"/>
      <c r="NR131" s="13"/>
      <c r="NS131" s="13"/>
      <c r="NT131" s="13"/>
      <c r="NU131" s="13"/>
      <c r="NV131" s="13"/>
      <c r="NW131" s="13"/>
      <c r="NX131" s="13"/>
      <c r="NY131" s="13"/>
      <c r="NZ131" s="13"/>
      <c r="OA131" s="13"/>
      <c r="OB131" s="13"/>
      <c r="OC131" s="13"/>
      <c r="OD131" s="13"/>
      <c r="OE131" s="13"/>
      <c r="OF131" s="13"/>
      <c r="OG131" s="13"/>
      <c r="OH131" s="13"/>
      <c r="OI131" s="13"/>
      <c r="OJ131" s="13"/>
      <c r="OK131" s="13"/>
      <c r="OL131" s="13"/>
      <c r="OM131" s="13"/>
      <c r="ON131" s="13"/>
      <c r="OO131" s="13"/>
      <c r="OP131" s="13"/>
      <c r="OQ131" s="13"/>
      <c r="OR131" s="13"/>
      <c r="OS131" s="13"/>
      <c r="OT131" s="13"/>
      <c r="OU131" s="13"/>
      <c r="OV131" s="13"/>
      <c r="OW131" s="13"/>
      <c r="OX131" s="13"/>
      <c r="OY131" s="13"/>
      <c r="OZ131" s="13"/>
      <c r="PA131" s="13"/>
      <c r="PB131" s="13"/>
      <c r="PC131" s="13"/>
      <c r="PD131" s="13"/>
      <c r="PE131" s="13"/>
      <c r="PF131" s="13"/>
      <c r="PG131" s="13"/>
      <c r="PH131" s="13"/>
      <c r="PI131" s="13"/>
      <c r="PJ131" s="13"/>
      <c r="PK131" s="13"/>
      <c r="PL131" s="13"/>
      <c r="PM131" s="13"/>
      <c r="PN131" s="13"/>
      <c r="PO131" s="13"/>
      <c r="PP131" s="13"/>
      <c r="PQ131" s="13"/>
      <c r="PR131" s="13"/>
      <c r="PS131" s="13"/>
      <c r="PT131" s="13"/>
      <c r="PU131" s="13"/>
      <c r="PV131" s="13"/>
      <c r="PW131" s="13"/>
      <c r="PX131" s="13"/>
      <c r="PY131" s="13"/>
      <c r="PZ131" s="13"/>
      <c r="QA131" s="13"/>
      <c r="QB131" s="13"/>
      <c r="QC131" s="13"/>
      <c r="QD131" s="13"/>
      <c r="QE131" s="13"/>
      <c r="QF131" s="13"/>
      <c r="QG131" s="13"/>
      <c r="QH131" s="13"/>
      <c r="QI131" s="13"/>
      <c r="QJ131" s="13"/>
      <c r="QK131" s="13"/>
      <c r="QL131" s="13"/>
      <c r="QM131" s="13"/>
      <c r="QN131" s="13"/>
      <c r="QO131" s="13"/>
      <c r="QP131" s="13"/>
      <c r="QQ131" s="13"/>
      <c r="QR131" s="13"/>
      <c r="QS131" s="13"/>
      <c r="QT131" s="13"/>
      <c r="QU131" s="13"/>
      <c r="QV131" s="13"/>
      <c r="QW131" s="13"/>
      <c r="QX131" s="13"/>
      <c r="QY131" s="13"/>
      <c r="QZ131" s="13"/>
      <c r="RA131" s="13"/>
      <c r="RB131" s="13"/>
      <c r="RC131" s="13"/>
      <c r="RD131" s="13"/>
      <c r="RE131" s="13"/>
      <c r="RF131" s="13"/>
      <c r="RG131" s="13"/>
      <c r="RH131" s="13"/>
      <c r="RI131" s="13"/>
      <c r="RJ131" s="13"/>
      <c r="RK131" s="13"/>
      <c r="RL131" s="13"/>
      <c r="RM131" s="13"/>
      <c r="RN131" s="13"/>
      <c r="RO131" s="13"/>
      <c r="RP131" s="13"/>
      <c r="RQ131" s="13"/>
      <c r="RR131" s="13"/>
      <c r="RS131" s="13"/>
      <c r="RT131" s="13"/>
      <c r="RU131" s="13"/>
      <c r="RV131" s="13"/>
      <c r="RW131" s="13"/>
      <c r="RX131" s="13"/>
      <c r="RY131" s="13"/>
      <c r="RZ131" s="13"/>
      <c r="SA131" s="13"/>
      <c r="SB131" s="13"/>
      <c r="SC131" s="13"/>
      <c r="SD131" s="13"/>
      <c r="SE131" s="13"/>
      <c r="SF131" s="13"/>
      <c r="SG131" s="13"/>
      <c r="SH131" s="13"/>
      <c r="SI131" s="13"/>
      <c r="SJ131" s="13"/>
      <c r="SK131" s="13"/>
      <c r="SL131" s="13"/>
      <c r="SM131" s="13"/>
      <c r="SN131" s="13"/>
      <c r="SO131" s="13"/>
      <c r="SP131" s="13"/>
      <c r="SQ131" s="13"/>
      <c r="SR131" s="13"/>
      <c r="SS131" s="13"/>
      <c r="ST131" s="13"/>
      <c r="SU131" s="13"/>
      <c r="SV131" s="13"/>
      <c r="SW131" s="13"/>
      <c r="SX131" s="13"/>
      <c r="SY131" s="13"/>
      <c r="SZ131" s="13"/>
      <c r="TA131" s="13"/>
      <c r="TB131" s="13"/>
      <c r="TC131" s="13"/>
      <c r="TD131" s="13"/>
      <c r="TE131" s="13"/>
      <c r="TF131" s="13"/>
      <c r="TG131" s="13"/>
      <c r="TH131" s="13"/>
      <c r="TI131" s="13"/>
      <c r="TJ131" s="13"/>
      <c r="TK131" s="13"/>
      <c r="TL131" s="13"/>
      <c r="TM131" s="13"/>
      <c r="TN131" s="13"/>
      <c r="TO131" s="13"/>
      <c r="TP131" s="13"/>
      <c r="TQ131" s="13"/>
      <c r="TR131" s="13"/>
      <c r="TS131" s="13"/>
      <c r="TT131" s="13"/>
      <c r="TU131" s="13"/>
      <c r="TV131" s="13"/>
      <c r="TW131" s="13"/>
      <c r="TX131" s="13"/>
      <c r="TY131" s="13"/>
      <c r="TZ131" s="13"/>
      <c r="UA131" s="13"/>
      <c r="UB131" s="13"/>
      <c r="UC131" s="13"/>
      <c r="UD131" s="13"/>
      <c r="UE131" s="13"/>
      <c r="UF131" s="13"/>
      <c r="UG131" s="13"/>
      <c r="UH131" s="13"/>
      <c r="UI131" s="13"/>
      <c r="UJ131" s="13"/>
      <c r="UK131" s="13"/>
      <c r="UL131" s="13"/>
      <c r="UM131" s="13"/>
      <c r="UN131" s="13"/>
      <c r="UO131" s="13"/>
      <c r="UP131" s="13"/>
      <c r="UQ131" s="13"/>
      <c r="UR131" s="13"/>
      <c r="US131" s="13"/>
      <c r="UT131" s="13"/>
      <c r="UU131" s="13"/>
      <c r="UV131" s="13"/>
      <c r="UW131" s="13"/>
      <c r="UX131" s="13"/>
      <c r="UY131" s="13"/>
      <c r="UZ131" s="13"/>
      <c r="VA131" s="13"/>
      <c r="VB131" s="13"/>
      <c r="VC131" s="13"/>
      <c r="VD131" s="13"/>
      <c r="VE131" s="13"/>
      <c r="VF131" s="13"/>
      <c r="VG131" s="13"/>
      <c r="VH131" s="13"/>
      <c r="VI131" s="13"/>
      <c r="VJ131" s="13"/>
      <c r="VK131" s="13"/>
      <c r="VL131" s="13"/>
      <c r="VM131" s="13"/>
      <c r="VN131" s="13"/>
      <c r="VO131" s="13"/>
      <c r="VP131" s="13"/>
      <c r="VQ131" s="13"/>
      <c r="VR131" s="13"/>
      <c r="VS131" s="13"/>
      <c r="VT131" s="13"/>
    </row>
    <row r="132" spans="1:592" s="13" customFormat="1" ht="21" x14ac:dyDescent="0.2">
      <c r="A132" s="10" t="s">
        <v>377</v>
      </c>
      <c r="B132" s="15" t="s">
        <v>378</v>
      </c>
      <c r="C132" s="11" t="s">
        <v>379</v>
      </c>
      <c r="D132" s="11">
        <v>2700736</v>
      </c>
      <c r="E132" s="225" t="s">
        <v>325</v>
      </c>
      <c r="F132" s="192" t="s">
        <v>300</v>
      </c>
      <c r="G132" s="201">
        <f>IFERROR(VLOOKUP(D132,List1!$A$5:$B$227,2,FALSE),"0")</f>
        <v>1382000</v>
      </c>
      <c r="H132" s="41" t="str">
        <f>IFERROR(VLOOKUP(D132,List1!$D$5:$E$41,2,FALSE),"0")</f>
        <v>0</v>
      </c>
      <c r="I132" s="41">
        <f>IFERROR(VLOOKUP(D132,List1!$G$5:$H$227,2,FALSE),"0")</f>
        <v>135859</v>
      </c>
      <c r="J132" s="40">
        <f t="shared" si="10"/>
        <v>1517859</v>
      </c>
      <c r="K132" s="41" t="str">
        <f>IFERROR(VLOOKUP(D132,List1!$J$5:$K$227,2,FALSE),"0")</f>
        <v>0</v>
      </c>
      <c r="L132" s="41">
        <f>IFERROR(VLOOKUP(D132,List1!$M$5:$N$112,2,FALSE),"0")</f>
        <v>44000</v>
      </c>
      <c r="M132" s="43">
        <v>0</v>
      </c>
      <c r="N132" s="80">
        <f>VLOOKUP($D$5:$D$251,List2!$A$2:$B$241,2,FALSE)</f>
        <v>0</v>
      </c>
      <c r="O132" s="80">
        <f>IFERROR(VLOOKUP($D$5:$D$260,List1!$Y$5:$Z$244,2,FALSE),0)</f>
        <v>0</v>
      </c>
      <c r="P132" s="202">
        <f>IFERROR(VLOOKUP($D$5:$D$260,List1!$AB$5:$AC$244,2,FALSE),0)</f>
        <v>0</v>
      </c>
      <c r="Q132" s="201">
        <f>IFERROR(VLOOKUP($D$5:$D$260,List1!$S$5:$T$231,2,FALSE),0)</f>
        <v>1780592</v>
      </c>
      <c r="R132" s="41">
        <v>0</v>
      </c>
      <c r="S132" s="41">
        <f>IFERROR(VLOOKUP($D$5:$D$260,List1!$AE$5:$AF$231,2,FALSE),0)</f>
        <v>350000</v>
      </c>
      <c r="T132" s="41">
        <f t="shared" si="11"/>
        <v>2130592</v>
      </c>
      <c r="U132" s="41" t="str">
        <f>IFERROR(VLOOKUP(D132,List1!$P$5:$Q$110,2,FALSE),"0")</f>
        <v>0</v>
      </c>
      <c r="V132" s="41">
        <v>0</v>
      </c>
      <c r="W132" s="248">
        <v>0</v>
      </c>
      <c r="X132" s="211">
        <f t="shared" si="12"/>
        <v>2130592</v>
      </c>
      <c r="Y132" s="219"/>
      <c r="Z132" s="80">
        <f>IFERROR(VLOOKUP($D$5:$D$260,#REF!,3,FALSE),0)</f>
        <v>0</v>
      </c>
      <c r="AA132" s="80">
        <f>IFERROR(VLOOKUP($D$5:$D$260,#REF!,3,FALSE),0)</f>
        <v>0</v>
      </c>
      <c r="AB132" s="243">
        <v>0</v>
      </c>
      <c r="AC132" s="202">
        <f t="shared" si="13"/>
        <v>0</v>
      </c>
      <c r="AD132" s="259">
        <f t="shared" si="14"/>
        <v>0</v>
      </c>
      <c r="AE132" s="260">
        <f t="shared" si="15"/>
        <v>0</v>
      </c>
      <c r="AF132" s="260">
        <f t="shared" si="16"/>
        <v>0</v>
      </c>
      <c r="AG132" s="260">
        <f t="shared" si="17"/>
        <v>0</v>
      </c>
    </row>
    <row r="133" spans="1:592" s="13" customFormat="1" ht="21" x14ac:dyDescent="0.2">
      <c r="A133" s="10" t="s">
        <v>380</v>
      </c>
      <c r="B133" s="15" t="s">
        <v>381</v>
      </c>
      <c r="C133" s="11" t="s">
        <v>379</v>
      </c>
      <c r="D133" s="11">
        <v>8598927</v>
      </c>
      <c r="E133" s="225" t="s">
        <v>325</v>
      </c>
      <c r="F133" s="192" t="s">
        <v>294</v>
      </c>
      <c r="G133" s="201">
        <f>IFERROR(VLOOKUP(D133,List1!$A$5:$B$227,2,FALSE),"0")</f>
        <v>495000</v>
      </c>
      <c r="H133" s="41" t="str">
        <f>IFERROR(VLOOKUP(D133,List1!$D$5:$E$41,2,FALSE),"0")</f>
        <v>0</v>
      </c>
      <c r="I133" s="41" t="str">
        <f>IFERROR(VLOOKUP(D133,List1!$G$5:$H$227,2,FALSE),"0")</f>
        <v>0</v>
      </c>
      <c r="J133" s="40">
        <f t="shared" si="10"/>
        <v>495000</v>
      </c>
      <c r="K133" s="41" t="str">
        <f>IFERROR(VLOOKUP(D133,List1!$J$5:$K$227,2,FALSE),"0")</f>
        <v>0</v>
      </c>
      <c r="L133" s="41" t="str">
        <f>IFERROR(VLOOKUP(D133,List1!$M$5:$N$112,2,FALSE),"0")</f>
        <v>0</v>
      </c>
      <c r="M133" s="43">
        <v>0</v>
      </c>
      <c r="N133" s="80">
        <f>VLOOKUP($D$5:$D$251,List2!$A$2:$B$241,2,FALSE)</f>
        <v>0</v>
      </c>
      <c r="O133" s="80">
        <f>IFERROR(VLOOKUP($D$5:$D$260,List1!$Y$5:$Z$244,2,FALSE),0)</f>
        <v>0</v>
      </c>
      <c r="P133" s="202">
        <f>IFERROR(VLOOKUP($D$5:$D$260,List1!$AB$5:$AC$244,2,FALSE),0)</f>
        <v>0</v>
      </c>
      <c r="Q133" s="201">
        <f>IFERROR(VLOOKUP($D$5:$D$260,List1!$S$5:$T$231,2,FALSE),0)</f>
        <v>407080</v>
      </c>
      <c r="R133" s="41">
        <v>0</v>
      </c>
      <c r="S133" s="41">
        <f>IFERROR(VLOOKUP($D$5:$D$260,List1!$AE$5:$AF$231,2,FALSE),0)</f>
        <v>50000</v>
      </c>
      <c r="T133" s="41">
        <f t="shared" si="11"/>
        <v>457080</v>
      </c>
      <c r="U133" s="41" t="str">
        <f>IFERROR(VLOOKUP(D133,List1!$P$5:$Q$110,2,FALSE),"0")</f>
        <v>0</v>
      </c>
      <c r="V133" s="41">
        <v>0</v>
      </c>
      <c r="W133" s="248">
        <v>0</v>
      </c>
      <c r="X133" s="211">
        <f t="shared" si="12"/>
        <v>457080</v>
      </c>
      <c r="Y133" s="219"/>
      <c r="Z133" s="80">
        <f>IFERROR(VLOOKUP($D$5:$D$260,#REF!,3,FALSE),0)</f>
        <v>0</v>
      </c>
      <c r="AA133" s="80">
        <f>IFERROR(VLOOKUP($D$5:$D$260,#REF!,3,FALSE),0)</f>
        <v>0</v>
      </c>
      <c r="AB133" s="243">
        <v>0</v>
      </c>
      <c r="AC133" s="202">
        <f t="shared" si="13"/>
        <v>0</v>
      </c>
      <c r="AD133" s="259">
        <f t="shared" si="14"/>
        <v>0</v>
      </c>
      <c r="AE133" s="260">
        <f t="shared" si="15"/>
        <v>0</v>
      </c>
      <c r="AF133" s="260">
        <f t="shared" si="16"/>
        <v>0</v>
      </c>
      <c r="AG133" s="260">
        <f t="shared" si="17"/>
        <v>0</v>
      </c>
    </row>
    <row r="134" spans="1:592" s="13" customFormat="1" ht="21" x14ac:dyDescent="0.2">
      <c r="A134" s="10" t="s">
        <v>382</v>
      </c>
      <c r="B134" s="15" t="s">
        <v>383</v>
      </c>
      <c r="C134" s="11" t="s">
        <v>379</v>
      </c>
      <c r="D134" s="11">
        <v>2088349</v>
      </c>
      <c r="E134" s="225" t="s">
        <v>325</v>
      </c>
      <c r="F134" s="192" t="s">
        <v>300</v>
      </c>
      <c r="G134" s="201">
        <f>IFERROR(VLOOKUP(D134,List1!$A$5:$B$227,2,FALSE),"0")</f>
        <v>1562000</v>
      </c>
      <c r="H134" s="41" t="str">
        <f>IFERROR(VLOOKUP(D134,List1!$D$5:$E$41,2,FALSE),"0")</f>
        <v>0</v>
      </c>
      <c r="I134" s="41" t="str">
        <f>IFERROR(VLOOKUP(D134,List1!$G$5:$H$227,2,FALSE),"0")</f>
        <v>0</v>
      </c>
      <c r="J134" s="40">
        <f t="shared" ref="J134:J197" si="18">G134+H134+I134</f>
        <v>1562000</v>
      </c>
      <c r="K134" s="41" t="str">
        <f>IFERROR(VLOOKUP(D134,List1!$J$5:$K$227,2,FALSE),"0")</f>
        <v>0</v>
      </c>
      <c r="L134" s="41">
        <f>IFERROR(VLOOKUP(D134,List1!$M$5:$N$112,2,FALSE),"0")</f>
        <v>45000</v>
      </c>
      <c r="M134" s="43">
        <v>0</v>
      </c>
      <c r="N134" s="80">
        <f>VLOOKUP($D$5:$D$251,List2!$A$2:$B$241,2,FALSE)</f>
        <v>0</v>
      </c>
      <c r="O134" s="80">
        <f>IFERROR(VLOOKUP($D$5:$D$260,List1!$Y$5:$Z$244,2,FALSE),0)</f>
        <v>0</v>
      </c>
      <c r="P134" s="202">
        <f>IFERROR(VLOOKUP($D$5:$D$260,List1!$AB$5:$AC$244,2,FALSE),0)</f>
        <v>0</v>
      </c>
      <c r="Q134" s="201">
        <f>IFERROR(VLOOKUP($D$5:$D$260,List1!$S$5:$T$231,2,FALSE),0)</f>
        <v>1642454</v>
      </c>
      <c r="R134" s="41">
        <v>0</v>
      </c>
      <c r="S134" s="41">
        <f>IFERROR(VLOOKUP($D$5:$D$260,List1!$AE$5:$AF$231,2,FALSE),0)</f>
        <v>300000</v>
      </c>
      <c r="T134" s="41">
        <f t="shared" ref="T134:T197" si="19">Q134+R134+S134</f>
        <v>1942454</v>
      </c>
      <c r="U134" s="41" t="str">
        <f>IFERROR(VLOOKUP(D134,List1!$P$5:$Q$110,2,FALSE),"0")</f>
        <v>0</v>
      </c>
      <c r="V134" s="41">
        <v>0</v>
      </c>
      <c r="W134" s="248">
        <v>0</v>
      </c>
      <c r="X134" s="211">
        <f t="shared" ref="X134:X197" si="20">T134+U134+V134+W134</f>
        <v>1942454</v>
      </c>
      <c r="Y134" s="219"/>
      <c r="Z134" s="80">
        <f>IFERROR(VLOOKUP($D$5:$D$260,#REF!,3,FALSE),0)</f>
        <v>0</v>
      </c>
      <c r="AA134" s="80">
        <f>IFERROR(VLOOKUP($D$5:$D$260,#REF!,3,FALSE),0)</f>
        <v>0</v>
      </c>
      <c r="AB134" s="243">
        <v>0</v>
      </c>
      <c r="AC134" s="202">
        <f t="shared" ref="AC134:AC197" si="21">Z134+AA134+Y134+AB134</f>
        <v>0</v>
      </c>
      <c r="AD134" s="259">
        <f t="shared" ref="AD134:AD197" si="22">(Z134+AA134)-U134</f>
        <v>0</v>
      </c>
      <c r="AE134" s="260">
        <f t="shared" ref="AE134:AE197" si="23">IFERROR(((Z134+AA134)-U134)/U134,0)</f>
        <v>0</v>
      </c>
      <c r="AF134" s="260">
        <f t="shared" ref="AF134:AF197" si="24">IFERROR((Z134-U134)/U134,0)</f>
        <v>0</v>
      </c>
      <c r="AG134" s="260">
        <f t="shared" ref="AG134:AG197" si="25">IFERROR((AA134-U134)/U134,0)</f>
        <v>0</v>
      </c>
    </row>
    <row r="135" spans="1:592" s="13" customFormat="1" ht="21" x14ac:dyDescent="0.2">
      <c r="A135" s="10" t="s">
        <v>384</v>
      </c>
      <c r="B135" s="15" t="s">
        <v>385</v>
      </c>
      <c r="C135" s="11" t="s">
        <v>379</v>
      </c>
      <c r="D135" s="11">
        <v>3886672</v>
      </c>
      <c r="E135" s="225" t="s">
        <v>325</v>
      </c>
      <c r="F135" s="192" t="s">
        <v>300</v>
      </c>
      <c r="G135" s="201">
        <f>IFERROR(VLOOKUP(D135,List1!$A$5:$B$227,2,FALSE),"0")</f>
        <v>2260000</v>
      </c>
      <c r="H135" s="41" t="str">
        <f>IFERROR(VLOOKUP(D135,List1!$D$5:$E$41,2,FALSE),"0")</f>
        <v>0</v>
      </c>
      <c r="I135" s="41" t="str">
        <f>IFERROR(VLOOKUP(D135,List1!$G$5:$H$227,2,FALSE),"0")</f>
        <v>0</v>
      </c>
      <c r="J135" s="40">
        <f t="shared" si="18"/>
        <v>2260000</v>
      </c>
      <c r="K135" s="41" t="str">
        <f>IFERROR(VLOOKUP(D135,List1!$J$5:$K$227,2,FALSE),"0")</f>
        <v>0</v>
      </c>
      <c r="L135" s="41">
        <f>IFERROR(VLOOKUP(D135,List1!$M$5:$N$112,2,FALSE),"0")</f>
        <v>79000</v>
      </c>
      <c r="M135" s="43">
        <v>0</v>
      </c>
      <c r="N135" s="80">
        <f>VLOOKUP($D$5:$D$251,List2!$A$2:$B$241,2,FALSE)</f>
        <v>0</v>
      </c>
      <c r="O135" s="80">
        <f>IFERROR(VLOOKUP($D$5:$D$260,List1!$Y$5:$Z$244,2,FALSE),0)</f>
        <v>0</v>
      </c>
      <c r="P135" s="202">
        <f>IFERROR(VLOOKUP($D$5:$D$260,List1!$AB$5:$AC$244,2,FALSE),0)</f>
        <v>0</v>
      </c>
      <c r="Q135" s="201">
        <f>IFERROR(VLOOKUP($D$5:$D$260,List1!$S$5:$T$231,2,FALSE),0)</f>
        <v>3294309</v>
      </c>
      <c r="R135" s="41">
        <v>0</v>
      </c>
      <c r="S135" s="41">
        <f>IFERROR(VLOOKUP($D$5:$D$260,List1!$AE$5:$AF$231,2,FALSE),0)</f>
        <v>650000</v>
      </c>
      <c r="T135" s="41">
        <f t="shared" si="19"/>
        <v>3944309</v>
      </c>
      <c r="U135" s="41" t="str">
        <f>IFERROR(VLOOKUP(D135,List1!$P$5:$Q$110,2,FALSE),"0")</f>
        <v>0</v>
      </c>
      <c r="V135" s="41">
        <v>0</v>
      </c>
      <c r="W135" s="248">
        <v>0</v>
      </c>
      <c r="X135" s="211">
        <f t="shared" si="20"/>
        <v>3944309</v>
      </c>
      <c r="Y135" s="219"/>
      <c r="Z135" s="80">
        <f>IFERROR(VLOOKUP($D$5:$D$260,#REF!,3,FALSE),0)</f>
        <v>0</v>
      </c>
      <c r="AA135" s="80">
        <f>IFERROR(VLOOKUP($D$5:$D$260,#REF!,3,FALSE),0)</f>
        <v>0</v>
      </c>
      <c r="AB135" s="243">
        <v>0</v>
      </c>
      <c r="AC135" s="202">
        <f t="shared" si="21"/>
        <v>0</v>
      </c>
      <c r="AD135" s="259">
        <f t="shared" si="22"/>
        <v>0</v>
      </c>
      <c r="AE135" s="260">
        <f t="shared" si="23"/>
        <v>0</v>
      </c>
      <c r="AF135" s="260">
        <f t="shared" si="24"/>
        <v>0</v>
      </c>
      <c r="AG135" s="260">
        <f t="shared" si="25"/>
        <v>0</v>
      </c>
    </row>
    <row r="136" spans="1:592" s="13" customFormat="1" ht="21" x14ac:dyDescent="0.2">
      <c r="A136" s="10" t="s">
        <v>386</v>
      </c>
      <c r="B136" s="15" t="s">
        <v>387</v>
      </c>
      <c r="C136" s="11" t="s">
        <v>379</v>
      </c>
      <c r="D136" s="11">
        <v>7777619</v>
      </c>
      <c r="E136" s="225" t="s">
        <v>325</v>
      </c>
      <c r="F136" s="192" t="s">
        <v>300</v>
      </c>
      <c r="G136" s="201">
        <f>IFERROR(VLOOKUP(D136,List1!$A$5:$B$227,2,FALSE),"0")</f>
        <v>799000</v>
      </c>
      <c r="H136" s="41" t="str">
        <f>IFERROR(VLOOKUP(D136,List1!$D$5:$E$41,2,FALSE),"0")</f>
        <v>0</v>
      </c>
      <c r="I136" s="41" t="str">
        <f>IFERROR(VLOOKUP(D136,List1!$G$5:$H$227,2,FALSE),"0")</f>
        <v>0</v>
      </c>
      <c r="J136" s="40">
        <f t="shared" si="18"/>
        <v>799000</v>
      </c>
      <c r="K136" s="41" t="str">
        <f>IFERROR(VLOOKUP(D136,List1!$J$5:$K$227,2,FALSE),"0")</f>
        <v>0</v>
      </c>
      <c r="L136" s="41">
        <f>IFERROR(VLOOKUP(D136,List1!$M$5:$N$112,2,FALSE),"0")</f>
        <v>36000</v>
      </c>
      <c r="M136" s="43">
        <v>0</v>
      </c>
      <c r="N136" s="80">
        <f>VLOOKUP($D$5:$D$251,List2!$A$2:$B$241,2,FALSE)</f>
        <v>0</v>
      </c>
      <c r="O136" s="80">
        <f>IFERROR(VLOOKUP($D$5:$D$260,List1!$Y$5:$Z$244,2,FALSE),0)</f>
        <v>0</v>
      </c>
      <c r="P136" s="202">
        <f>IFERROR(VLOOKUP($D$5:$D$260,List1!$AB$5:$AC$244,2,FALSE),0)</f>
        <v>0</v>
      </c>
      <c r="Q136" s="201">
        <f>IFERROR(VLOOKUP($D$5:$D$260,List1!$S$5:$T$231,2,FALSE),0)</f>
        <v>960095</v>
      </c>
      <c r="R136" s="41">
        <v>0</v>
      </c>
      <c r="S136" s="41">
        <f>IFERROR(VLOOKUP($D$5:$D$260,List1!$AE$5:$AF$231,2,FALSE),0)</f>
        <v>200000</v>
      </c>
      <c r="T136" s="41">
        <f t="shared" si="19"/>
        <v>1160095</v>
      </c>
      <c r="U136" s="41" t="str">
        <f>IFERROR(VLOOKUP(D136,List1!$P$5:$Q$110,2,FALSE),"0")</f>
        <v>0</v>
      </c>
      <c r="V136" s="41">
        <v>0</v>
      </c>
      <c r="W136" s="248">
        <v>0</v>
      </c>
      <c r="X136" s="211">
        <f t="shared" si="20"/>
        <v>1160095</v>
      </c>
      <c r="Y136" s="219"/>
      <c r="Z136" s="80">
        <f>IFERROR(VLOOKUP($D$5:$D$260,#REF!,3,FALSE),0)</f>
        <v>0</v>
      </c>
      <c r="AA136" s="80">
        <f>IFERROR(VLOOKUP($D$5:$D$260,#REF!,3,FALSE),0)</f>
        <v>0</v>
      </c>
      <c r="AB136" s="243">
        <v>0</v>
      </c>
      <c r="AC136" s="202">
        <f t="shared" si="21"/>
        <v>0</v>
      </c>
      <c r="AD136" s="259">
        <f t="shared" si="22"/>
        <v>0</v>
      </c>
      <c r="AE136" s="260">
        <f t="shared" si="23"/>
        <v>0</v>
      </c>
      <c r="AF136" s="260">
        <f t="shared" si="24"/>
        <v>0</v>
      </c>
      <c r="AG136" s="260">
        <f t="shared" si="25"/>
        <v>0</v>
      </c>
    </row>
    <row r="137" spans="1:592" s="22" customFormat="1" ht="21" x14ac:dyDescent="0.2">
      <c r="A137" s="10" t="s">
        <v>388</v>
      </c>
      <c r="B137" s="15" t="s">
        <v>389</v>
      </c>
      <c r="C137" s="11" t="s">
        <v>379</v>
      </c>
      <c r="D137" s="11">
        <v>2838544</v>
      </c>
      <c r="E137" s="225" t="s">
        <v>325</v>
      </c>
      <c r="F137" s="192" t="s">
        <v>300</v>
      </c>
      <c r="G137" s="201">
        <f>IFERROR(VLOOKUP(D137,List1!$A$5:$B$227,2,FALSE),"0")</f>
        <v>830000</v>
      </c>
      <c r="H137" s="41" t="str">
        <f>IFERROR(VLOOKUP(D137,List1!$D$5:$E$41,2,FALSE),"0")</f>
        <v>0</v>
      </c>
      <c r="I137" s="41" t="str">
        <f>IFERROR(VLOOKUP(D137,List1!$G$5:$H$227,2,FALSE),"0")</f>
        <v>0</v>
      </c>
      <c r="J137" s="40">
        <f t="shared" si="18"/>
        <v>830000</v>
      </c>
      <c r="K137" s="41" t="str">
        <f>IFERROR(VLOOKUP(D137,List1!$J$5:$K$227,2,FALSE),"0")</f>
        <v>0</v>
      </c>
      <c r="L137" s="41" t="str">
        <f>IFERROR(VLOOKUP(D137,List1!$M$5:$N$112,2,FALSE),"0")</f>
        <v>0</v>
      </c>
      <c r="M137" s="43">
        <v>0</v>
      </c>
      <c r="N137" s="80">
        <f>VLOOKUP($D$5:$D$251,List2!$A$2:$B$241,2,FALSE)</f>
        <v>0</v>
      </c>
      <c r="O137" s="80">
        <f>IFERROR(VLOOKUP($D$5:$D$260,List1!$Y$5:$Z$244,2,FALSE),0)</f>
        <v>0</v>
      </c>
      <c r="P137" s="202">
        <f>IFERROR(VLOOKUP($D$5:$D$260,List1!$AB$5:$AC$244,2,FALSE),0)</f>
        <v>0</v>
      </c>
      <c r="Q137" s="201">
        <f>IFERROR(VLOOKUP($D$5:$D$260,List1!$S$5:$T$231,2,FALSE),0)</f>
        <v>779597</v>
      </c>
      <c r="R137" s="41">
        <v>0</v>
      </c>
      <c r="S137" s="41">
        <f>IFERROR(VLOOKUP($D$5:$D$260,List1!$AE$5:$AF$231,2,FALSE),0)</f>
        <v>150000</v>
      </c>
      <c r="T137" s="41">
        <f t="shared" si="19"/>
        <v>929597</v>
      </c>
      <c r="U137" s="41" t="str">
        <f>IFERROR(VLOOKUP(D137,List1!$P$5:$Q$110,2,FALSE),"0")</f>
        <v>0</v>
      </c>
      <c r="V137" s="41">
        <v>0</v>
      </c>
      <c r="W137" s="248">
        <v>0</v>
      </c>
      <c r="X137" s="211">
        <f t="shared" si="20"/>
        <v>929597</v>
      </c>
      <c r="Y137" s="219"/>
      <c r="Z137" s="80">
        <f>IFERROR(VLOOKUP($D$5:$D$260,#REF!,3,FALSE),0)</f>
        <v>0</v>
      </c>
      <c r="AA137" s="80">
        <f>IFERROR(VLOOKUP($D$5:$D$260,#REF!,3,FALSE),0)</f>
        <v>0</v>
      </c>
      <c r="AB137" s="243">
        <v>0</v>
      </c>
      <c r="AC137" s="202">
        <f t="shared" si="21"/>
        <v>0</v>
      </c>
      <c r="AD137" s="259">
        <f t="shared" si="22"/>
        <v>0</v>
      </c>
      <c r="AE137" s="260">
        <f t="shared" si="23"/>
        <v>0</v>
      </c>
      <c r="AF137" s="260">
        <f t="shared" si="24"/>
        <v>0</v>
      </c>
      <c r="AG137" s="260">
        <f t="shared" si="25"/>
        <v>0</v>
      </c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13"/>
      <c r="IN137" s="13"/>
      <c r="IO137" s="13"/>
      <c r="IP137" s="13"/>
      <c r="IQ137" s="13"/>
      <c r="IR137" s="13"/>
      <c r="IS137" s="13"/>
      <c r="IT137" s="13"/>
      <c r="IU137" s="13"/>
      <c r="IV137" s="13"/>
      <c r="IW137" s="13"/>
      <c r="IX137" s="13"/>
      <c r="IY137" s="13"/>
      <c r="IZ137" s="13"/>
      <c r="JA137" s="13"/>
      <c r="JB137" s="13"/>
      <c r="JC137" s="13"/>
      <c r="JD137" s="13"/>
      <c r="JE137" s="13"/>
      <c r="JF137" s="13"/>
      <c r="JG137" s="13"/>
      <c r="JH137" s="13"/>
      <c r="JI137" s="13"/>
      <c r="JJ137" s="13"/>
      <c r="JK137" s="13"/>
      <c r="JL137" s="13"/>
      <c r="JM137" s="13"/>
      <c r="JN137" s="13"/>
      <c r="JO137" s="13"/>
      <c r="JP137" s="13"/>
      <c r="JQ137" s="13"/>
      <c r="JR137" s="13"/>
      <c r="JS137" s="13"/>
      <c r="JT137" s="13"/>
      <c r="JU137" s="13"/>
      <c r="JV137" s="13"/>
      <c r="JW137" s="13"/>
      <c r="JX137" s="13"/>
      <c r="JY137" s="13"/>
      <c r="JZ137" s="13"/>
      <c r="KA137" s="13"/>
      <c r="KB137" s="13"/>
      <c r="KC137" s="13"/>
      <c r="KD137" s="13"/>
      <c r="KE137" s="13"/>
      <c r="KF137" s="13"/>
      <c r="KG137" s="13"/>
      <c r="KH137" s="13"/>
      <c r="KI137" s="13"/>
      <c r="KJ137" s="13"/>
      <c r="KK137" s="13"/>
      <c r="KL137" s="13"/>
      <c r="KM137" s="13"/>
      <c r="KN137" s="13"/>
      <c r="KO137" s="13"/>
      <c r="KP137" s="13"/>
      <c r="KQ137" s="13"/>
      <c r="KR137" s="13"/>
      <c r="KS137" s="13"/>
      <c r="KT137" s="13"/>
      <c r="KU137" s="13"/>
      <c r="KV137" s="13"/>
      <c r="KW137" s="13"/>
      <c r="KX137" s="13"/>
      <c r="KY137" s="13"/>
      <c r="KZ137" s="13"/>
      <c r="LA137" s="13"/>
      <c r="LB137" s="13"/>
      <c r="LC137" s="13"/>
      <c r="LD137" s="13"/>
      <c r="LE137" s="13"/>
      <c r="LF137" s="13"/>
      <c r="LG137" s="13"/>
      <c r="LH137" s="13"/>
      <c r="LI137" s="13"/>
      <c r="LJ137" s="13"/>
      <c r="LK137" s="13"/>
      <c r="LL137" s="13"/>
      <c r="LM137" s="13"/>
      <c r="LN137" s="13"/>
      <c r="LO137" s="13"/>
      <c r="LP137" s="13"/>
      <c r="LQ137" s="13"/>
      <c r="LR137" s="13"/>
      <c r="LS137" s="13"/>
      <c r="LT137" s="13"/>
      <c r="LU137" s="13"/>
      <c r="LV137" s="13"/>
      <c r="LW137" s="13"/>
      <c r="LX137" s="13"/>
      <c r="LY137" s="13"/>
      <c r="LZ137" s="13"/>
      <c r="MA137" s="13"/>
      <c r="MB137" s="13"/>
      <c r="MC137" s="13"/>
      <c r="MD137" s="13"/>
      <c r="ME137" s="13"/>
      <c r="MF137" s="13"/>
      <c r="MG137" s="13"/>
      <c r="MH137" s="13"/>
      <c r="MI137" s="13"/>
      <c r="MJ137" s="13"/>
      <c r="MK137" s="13"/>
      <c r="ML137" s="13"/>
      <c r="MM137" s="13"/>
      <c r="MN137" s="13"/>
      <c r="MO137" s="13"/>
      <c r="MP137" s="13"/>
      <c r="MQ137" s="13"/>
      <c r="MR137" s="13"/>
      <c r="MS137" s="13"/>
      <c r="MT137" s="13"/>
      <c r="MU137" s="13"/>
      <c r="MV137" s="13"/>
      <c r="MW137" s="13"/>
      <c r="MX137" s="13"/>
      <c r="MY137" s="13"/>
      <c r="MZ137" s="13"/>
      <c r="NA137" s="13"/>
      <c r="NB137" s="13"/>
      <c r="NC137" s="13"/>
      <c r="ND137" s="13"/>
      <c r="NE137" s="13"/>
      <c r="NF137" s="13"/>
      <c r="NG137" s="13"/>
      <c r="NH137" s="13"/>
      <c r="NI137" s="13"/>
      <c r="NJ137" s="13"/>
      <c r="NK137" s="13"/>
      <c r="NL137" s="13"/>
      <c r="NM137" s="13"/>
      <c r="NN137" s="13"/>
      <c r="NO137" s="13"/>
      <c r="NP137" s="13"/>
      <c r="NQ137" s="13"/>
      <c r="NR137" s="13"/>
      <c r="NS137" s="13"/>
      <c r="NT137" s="13"/>
      <c r="NU137" s="13"/>
      <c r="NV137" s="13"/>
      <c r="NW137" s="13"/>
      <c r="NX137" s="13"/>
      <c r="NY137" s="13"/>
      <c r="NZ137" s="13"/>
      <c r="OA137" s="13"/>
      <c r="OB137" s="13"/>
      <c r="OC137" s="13"/>
      <c r="OD137" s="13"/>
      <c r="OE137" s="13"/>
      <c r="OF137" s="13"/>
      <c r="OG137" s="13"/>
      <c r="OH137" s="13"/>
      <c r="OI137" s="13"/>
      <c r="OJ137" s="13"/>
      <c r="OK137" s="13"/>
      <c r="OL137" s="13"/>
      <c r="OM137" s="13"/>
      <c r="ON137" s="13"/>
      <c r="OO137" s="13"/>
      <c r="OP137" s="13"/>
      <c r="OQ137" s="13"/>
      <c r="OR137" s="13"/>
      <c r="OS137" s="13"/>
      <c r="OT137" s="13"/>
      <c r="OU137" s="13"/>
      <c r="OV137" s="13"/>
      <c r="OW137" s="13"/>
      <c r="OX137" s="13"/>
      <c r="OY137" s="13"/>
      <c r="OZ137" s="13"/>
      <c r="PA137" s="13"/>
      <c r="PB137" s="13"/>
      <c r="PC137" s="13"/>
      <c r="PD137" s="13"/>
      <c r="PE137" s="13"/>
      <c r="PF137" s="13"/>
      <c r="PG137" s="13"/>
      <c r="PH137" s="13"/>
      <c r="PI137" s="13"/>
      <c r="PJ137" s="13"/>
      <c r="PK137" s="13"/>
      <c r="PL137" s="13"/>
      <c r="PM137" s="13"/>
      <c r="PN137" s="13"/>
      <c r="PO137" s="13"/>
      <c r="PP137" s="13"/>
      <c r="PQ137" s="13"/>
      <c r="PR137" s="13"/>
      <c r="PS137" s="13"/>
      <c r="PT137" s="13"/>
      <c r="PU137" s="13"/>
      <c r="PV137" s="13"/>
      <c r="PW137" s="13"/>
      <c r="PX137" s="13"/>
      <c r="PY137" s="13"/>
      <c r="PZ137" s="13"/>
      <c r="QA137" s="13"/>
      <c r="QB137" s="13"/>
      <c r="QC137" s="13"/>
      <c r="QD137" s="13"/>
      <c r="QE137" s="13"/>
      <c r="QF137" s="13"/>
      <c r="QG137" s="13"/>
      <c r="QH137" s="13"/>
      <c r="QI137" s="13"/>
      <c r="QJ137" s="13"/>
      <c r="QK137" s="13"/>
      <c r="QL137" s="13"/>
      <c r="QM137" s="13"/>
      <c r="QN137" s="13"/>
      <c r="QO137" s="13"/>
      <c r="QP137" s="13"/>
      <c r="QQ137" s="13"/>
      <c r="QR137" s="13"/>
      <c r="QS137" s="13"/>
      <c r="QT137" s="13"/>
      <c r="QU137" s="13"/>
      <c r="QV137" s="13"/>
      <c r="QW137" s="13"/>
      <c r="QX137" s="13"/>
      <c r="QY137" s="13"/>
      <c r="QZ137" s="13"/>
      <c r="RA137" s="13"/>
      <c r="RB137" s="13"/>
      <c r="RC137" s="13"/>
      <c r="RD137" s="13"/>
      <c r="RE137" s="13"/>
      <c r="RF137" s="13"/>
      <c r="RG137" s="13"/>
      <c r="RH137" s="13"/>
      <c r="RI137" s="13"/>
      <c r="RJ137" s="13"/>
      <c r="RK137" s="13"/>
      <c r="RL137" s="13"/>
      <c r="RM137" s="13"/>
      <c r="RN137" s="13"/>
      <c r="RO137" s="13"/>
      <c r="RP137" s="13"/>
      <c r="RQ137" s="13"/>
      <c r="RR137" s="13"/>
      <c r="RS137" s="13"/>
      <c r="RT137" s="13"/>
      <c r="RU137" s="13"/>
      <c r="RV137" s="13"/>
      <c r="RW137" s="13"/>
      <c r="RX137" s="13"/>
      <c r="RY137" s="13"/>
      <c r="RZ137" s="13"/>
      <c r="SA137" s="13"/>
      <c r="SB137" s="13"/>
      <c r="SC137" s="13"/>
      <c r="SD137" s="13"/>
      <c r="SE137" s="13"/>
      <c r="SF137" s="13"/>
      <c r="SG137" s="13"/>
      <c r="SH137" s="13"/>
      <c r="SI137" s="13"/>
      <c r="SJ137" s="13"/>
      <c r="SK137" s="13"/>
      <c r="SL137" s="13"/>
      <c r="SM137" s="13"/>
      <c r="SN137" s="13"/>
      <c r="SO137" s="13"/>
      <c r="SP137" s="13"/>
      <c r="SQ137" s="13"/>
      <c r="SR137" s="13"/>
      <c r="SS137" s="13"/>
      <c r="ST137" s="13"/>
      <c r="SU137" s="13"/>
      <c r="SV137" s="13"/>
      <c r="SW137" s="13"/>
      <c r="SX137" s="13"/>
      <c r="SY137" s="13"/>
      <c r="SZ137" s="13"/>
      <c r="TA137" s="13"/>
      <c r="TB137" s="13"/>
      <c r="TC137" s="13"/>
      <c r="TD137" s="13"/>
      <c r="TE137" s="13"/>
      <c r="TF137" s="13"/>
      <c r="TG137" s="13"/>
      <c r="TH137" s="13"/>
      <c r="TI137" s="13"/>
      <c r="TJ137" s="13"/>
      <c r="TK137" s="13"/>
      <c r="TL137" s="13"/>
      <c r="TM137" s="13"/>
      <c r="TN137" s="13"/>
      <c r="TO137" s="13"/>
      <c r="TP137" s="13"/>
      <c r="TQ137" s="13"/>
      <c r="TR137" s="13"/>
      <c r="TS137" s="13"/>
      <c r="TT137" s="13"/>
      <c r="TU137" s="13"/>
      <c r="TV137" s="13"/>
      <c r="TW137" s="13"/>
      <c r="TX137" s="13"/>
      <c r="TY137" s="13"/>
      <c r="TZ137" s="13"/>
      <c r="UA137" s="13"/>
      <c r="UB137" s="13"/>
      <c r="UC137" s="13"/>
      <c r="UD137" s="13"/>
      <c r="UE137" s="13"/>
      <c r="UF137" s="13"/>
      <c r="UG137" s="13"/>
      <c r="UH137" s="13"/>
      <c r="UI137" s="13"/>
      <c r="UJ137" s="13"/>
      <c r="UK137" s="13"/>
      <c r="UL137" s="13"/>
      <c r="UM137" s="13"/>
      <c r="UN137" s="13"/>
      <c r="UO137" s="13"/>
      <c r="UP137" s="13"/>
      <c r="UQ137" s="13"/>
      <c r="UR137" s="13"/>
      <c r="US137" s="13"/>
      <c r="UT137" s="13"/>
      <c r="UU137" s="13"/>
      <c r="UV137" s="13"/>
      <c r="UW137" s="13"/>
      <c r="UX137" s="13"/>
      <c r="UY137" s="13"/>
      <c r="UZ137" s="13"/>
      <c r="VA137" s="13"/>
      <c r="VB137" s="13"/>
      <c r="VC137" s="13"/>
      <c r="VD137" s="13"/>
      <c r="VE137" s="13"/>
      <c r="VF137" s="13"/>
      <c r="VG137" s="13"/>
      <c r="VH137" s="13"/>
      <c r="VI137" s="13"/>
      <c r="VJ137" s="13"/>
      <c r="VK137" s="13"/>
      <c r="VL137" s="13"/>
      <c r="VM137" s="13"/>
      <c r="VN137" s="13"/>
      <c r="VO137" s="13"/>
      <c r="VP137" s="13"/>
      <c r="VQ137" s="13"/>
      <c r="VR137" s="13"/>
      <c r="VS137" s="13"/>
      <c r="VT137" s="13"/>
    </row>
    <row r="138" spans="1:592" s="20" customFormat="1" ht="21" x14ac:dyDescent="0.2">
      <c r="A138" s="10" t="s">
        <v>390</v>
      </c>
      <c r="B138" s="15" t="s">
        <v>391</v>
      </c>
      <c r="C138" s="11" t="s">
        <v>379</v>
      </c>
      <c r="D138" s="11">
        <v>2084701</v>
      </c>
      <c r="E138" s="225" t="s">
        <v>325</v>
      </c>
      <c r="F138" s="192" t="s">
        <v>300</v>
      </c>
      <c r="G138" s="201">
        <f>IFERROR(VLOOKUP(D138,List1!$A$5:$B$227,2,FALSE),"0")</f>
        <v>3120000</v>
      </c>
      <c r="H138" s="41" t="str">
        <f>IFERROR(VLOOKUP(D138,List1!$D$5:$E$41,2,FALSE),"0")</f>
        <v>0</v>
      </c>
      <c r="I138" s="41" t="str">
        <f>IFERROR(VLOOKUP(D138,List1!$G$5:$H$227,2,FALSE),"0")</f>
        <v>0</v>
      </c>
      <c r="J138" s="40">
        <f t="shared" si="18"/>
        <v>3120000</v>
      </c>
      <c r="K138" s="41" t="str">
        <f>IFERROR(VLOOKUP(D138,List1!$J$5:$K$227,2,FALSE),"0")</f>
        <v>0</v>
      </c>
      <c r="L138" s="41">
        <f>IFERROR(VLOOKUP(D138,List1!$M$5:$N$112,2,FALSE),"0")</f>
        <v>90000</v>
      </c>
      <c r="M138" s="43">
        <v>0</v>
      </c>
      <c r="N138" s="80">
        <f>VLOOKUP($D$5:$D$251,List2!$A$2:$B$241,2,FALSE)</f>
        <v>395303</v>
      </c>
      <c r="O138" s="80">
        <f>IFERROR(VLOOKUP($D$5:$D$260,List1!$Y$5:$Z$244,2,FALSE),0)</f>
        <v>0</v>
      </c>
      <c r="P138" s="202">
        <f>IFERROR(VLOOKUP($D$5:$D$260,List1!$AB$5:$AC$244,2,FALSE),0)</f>
        <v>0</v>
      </c>
      <c r="Q138" s="201">
        <f>IFERROR(VLOOKUP($D$5:$D$260,List1!$S$5:$T$231,2,FALSE),0)</f>
        <v>3257795</v>
      </c>
      <c r="R138" s="41">
        <v>0</v>
      </c>
      <c r="S138" s="41">
        <f>IFERROR(VLOOKUP($D$5:$D$260,List1!$AE$5:$AF$231,2,FALSE),0)</f>
        <v>650000</v>
      </c>
      <c r="T138" s="41">
        <f t="shared" si="19"/>
        <v>3907795</v>
      </c>
      <c r="U138" s="41" t="str">
        <f>IFERROR(VLOOKUP(D138,List1!$P$5:$Q$110,2,FALSE),"0")</f>
        <v>0</v>
      </c>
      <c r="V138" s="41">
        <v>0</v>
      </c>
      <c r="W138" s="248">
        <v>0</v>
      </c>
      <c r="X138" s="211">
        <f t="shared" si="20"/>
        <v>3907795</v>
      </c>
      <c r="Y138" s="219"/>
      <c r="Z138" s="80">
        <f>IFERROR(VLOOKUP($D$5:$D$260,#REF!,3,FALSE),0)</f>
        <v>0</v>
      </c>
      <c r="AA138" s="80">
        <f>IFERROR(VLOOKUP($D$5:$D$260,#REF!,3,FALSE),0)</f>
        <v>0</v>
      </c>
      <c r="AB138" s="243">
        <v>0</v>
      </c>
      <c r="AC138" s="202">
        <f t="shared" si="21"/>
        <v>0</v>
      </c>
      <c r="AD138" s="259">
        <f t="shared" si="22"/>
        <v>0</v>
      </c>
      <c r="AE138" s="260">
        <f t="shared" si="23"/>
        <v>0</v>
      </c>
      <c r="AF138" s="260">
        <f t="shared" si="24"/>
        <v>0</v>
      </c>
      <c r="AG138" s="260">
        <f t="shared" si="25"/>
        <v>0</v>
      </c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13"/>
      <c r="IN138" s="13"/>
      <c r="IO138" s="13"/>
      <c r="IP138" s="13"/>
      <c r="IQ138" s="13"/>
      <c r="IR138" s="13"/>
      <c r="IS138" s="13"/>
      <c r="IT138" s="13"/>
      <c r="IU138" s="13"/>
      <c r="IV138" s="13"/>
      <c r="IW138" s="13"/>
      <c r="IX138" s="13"/>
      <c r="IY138" s="13"/>
      <c r="IZ138" s="13"/>
      <c r="JA138" s="13"/>
      <c r="JB138" s="13"/>
      <c r="JC138" s="13"/>
      <c r="JD138" s="13"/>
      <c r="JE138" s="13"/>
      <c r="JF138" s="13"/>
      <c r="JG138" s="13"/>
      <c r="JH138" s="13"/>
      <c r="JI138" s="13"/>
      <c r="JJ138" s="13"/>
      <c r="JK138" s="13"/>
      <c r="JL138" s="13"/>
      <c r="JM138" s="13"/>
      <c r="JN138" s="13"/>
      <c r="JO138" s="13"/>
      <c r="JP138" s="13"/>
      <c r="JQ138" s="13"/>
      <c r="JR138" s="13"/>
      <c r="JS138" s="13"/>
      <c r="JT138" s="13"/>
      <c r="JU138" s="13"/>
      <c r="JV138" s="13"/>
      <c r="JW138" s="13"/>
      <c r="JX138" s="13"/>
      <c r="JY138" s="13"/>
      <c r="JZ138" s="13"/>
      <c r="KA138" s="13"/>
      <c r="KB138" s="13"/>
      <c r="KC138" s="13"/>
      <c r="KD138" s="13"/>
      <c r="KE138" s="13"/>
      <c r="KF138" s="13"/>
      <c r="KG138" s="13"/>
      <c r="KH138" s="13"/>
      <c r="KI138" s="13"/>
      <c r="KJ138" s="13"/>
      <c r="KK138" s="13"/>
      <c r="KL138" s="13"/>
      <c r="KM138" s="13"/>
      <c r="KN138" s="13"/>
      <c r="KO138" s="13"/>
      <c r="KP138" s="13"/>
      <c r="KQ138" s="13"/>
      <c r="KR138" s="13"/>
      <c r="KS138" s="13"/>
      <c r="KT138" s="13"/>
      <c r="KU138" s="13"/>
      <c r="KV138" s="13"/>
      <c r="KW138" s="13"/>
      <c r="KX138" s="13"/>
      <c r="KY138" s="13"/>
      <c r="KZ138" s="13"/>
      <c r="LA138" s="13"/>
      <c r="LB138" s="13"/>
      <c r="LC138" s="13"/>
      <c r="LD138" s="13"/>
      <c r="LE138" s="13"/>
      <c r="LF138" s="13"/>
      <c r="LG138" s="13"/>
      <c r="LH138" s="13"/>
      <c r="LI138" s="13"/>
      <c r="LJ138" s="13"/>
      <c r="LK138" s="13"/>
      <c r="LL138" s="13"/>
      <c r="LM138" s="13"/>
      <c r="LN138" s="13"/>
      <c r="LO138" s="13"/>
      <c r="LP138" s="13"/>
      <c r="LQ138" s="13"/>
      <c r="LR138" s="13"/>
      <c r="LS138" s="13"/>
      <c r="LT138" s="13"/>
      <c r="LU138" s="13"/>
      <c r="LV138" s="13"/>
      <c r="LW138" s="13"/>
      <c r="LX138" s="13"/>
      <c r="LY138" s="13"/>
      <c r="LZ138" s="13"/>
      <c r="MA138" s="13"/>
      <c r="MB138" s="13"/>
      <c r="MC138" s="13"/>
      <c r="MD138" s="13"/>
      <c r="ME138" s="13"/>
      <c r="MF138" s="13"/>
      <c r="MG138" s="13"/>
      <c r="MH138" s="13"/>
      <c r="MI138" s="13"/>
      <c r="MJ138" s="13"/>
      <c r="MK138" s="13"/>
      <c r="ML138" s="13"/>
      <c r="MM138" s="13"/>
      <c r="MN138" s="13"/>
      <c r="MO138" s="13"/>
      <c r="MP138" s="13"/>
      <c r="MQ138" s="13"/>
      <c r="MR138" s="13"/>
      <c r="MS138" s="13"/>
      <c r="MT138" s="13"/>
      <c r="MU138" s="13"/>
      <c r="MV138" s="13"/>
      <c r="MW138" s="13"/>
      <c r="MX138" s="13"/>
      <c r="MY138" s="13"/>
      <c r="MZ138" s="13"/>
      <c r="NA138" s="13"/>
      <c r="NB138" s="13"/>
      <c r="NC138" s="13"/>
      <c r="ND138" s="13"/>
      <c r="NE138" s="13"/>
      <c r="NF138" s="13"/>
      <c r="NG138" s="13"/>
      <c r="NH138" s="13"/>
      <c r="NI138" s="13"/>
      <c r="NJ138" s="13"/>
      <c r="NK138" s="13"/>
      <c r="NL138" s="13"/>
      <c r="NM138" s="13"/>
      <c r="NN138" s="13"/>
      <c r="NO138" s="13"/>
      <c r="NP138" s="13"/>
      <c r="NQ138" s="13"/>
      <c r="NR138" s="13"/>
      <c r="NS138" s="13"/>
      <c r="NT138" s="13"/>
      <c r="NU138" s="13"/>
      <c r="NV138" s="13"/>
      <c r="NW138" s="13"/>
      <c r="NX138" s="13"/>
      <c r="NY138" s="13"/>
      <c r="NZ138" s="13"/>
      <c r="OA138" s="13"/>
      <c r="OB138" s="13"/>
      <c r="OC138" s="13"/>
      <c r="OD138" s="13"/>
      <c r="OE138" s="13"/>
      <c r="OF138" s="13"/>
      <c r="OG138" s="13"/>
      <c r="OH138" s="13"/>
      <c r="OI138" s="13"/>
      <c r="OJ138" s="13"/>
      <c r="OK138" s="13"/>
      <c r="OL138" s="13"/>
      <c r="OM138" s="13"/>
      <c r="ON138" s="13"/>
      <c r="OO138" s="13"/>
      <c r="OP138" s="13"/>
      <c r="OQ138" s="13"/>
      <c r="OR138" s="13"/>
      <c r="OS138" s="13"/>
      <c r="OT138" s="13"/>
      <c r="OU138" s="13"/>
      <c r="OV138" s="13"/>
      <c r="OW138" s="13"/>
      <c r="OX138" s="13"/>
      <c r="OY138" s="13"/>
      <c r="OZ138" s="13"/>
      <c r="PA138" s="13"/>
      <c r="PB138" s="13"/>
      <c r="PC138" s="13"/>
      <c r="PD138" s="13"/>
      <c r="PE138" s="13"/>
      <c r="PF138" s="13"/>
      <c r="PG138" s="13"/>
      <c r="PH138" s="13"/>
      <c r="PI138" s="13"/>
      <c r="PJ138" s="13"/>
      <c r="PK138" s="13"/>
      <c r="PL138" s="13"/>
      <c r="PM138" s="13"/>
      <c r="PN138" s="13"/>
      <c r="PO138" s="13"/>
      <c r="PP138" s="13"/>
      <c r="PQ138" s="13"/>
      <c r="PR138" s="13"/>
      <c r="PS138" s="13"/>
      <c r="PT138" s="13"/>
      <c r="PU138" s="13"/>
      <c r="PV138" s="13"/>
      <c r="PW138" s="13"/>
      <c r="PX138" s="13"/>
      <c r="PY138" s="13"/>
      <c r="PZ138" s="13"/>
      <c r="QA138" s="13"/>
      <c r="QB138" s="13"/>
      <c r="QC138" s="13"/>
      <c r="QD138" s="13"/>
      <c r="QE138" s="13"/>
      <c r="QF138" s="13"/>
      <c r="QG138" s="13"/>
      <c r="QH138" s="13"/>
      <c r="QI138" s="13"/>
      <c r="QJ138" s="13"/>
      <c r="QK138" s="13"/>
      <c r="QL138" s="13"/>
      <c r="QM138" s="13"/>
      <c r="QN138" s="13"/>
      <c r="QO138" s="13"/>
      <c r="QP138" s="13"/>
      <c r="QQ138" s="13"/>
      <c r="QR138" s="13"/>
      <c r="QS138" s="13"/>
      <c r="QT138" s="13"/>
      <c r="QU138" s="13"/>
      <c r="QV138" s="13"/>
      <c r="QW138" s="13"/>
      <c r="QX138" s="13"/>
      <c r="QY138" s="13"/>
      <c r="QZ138" s="13"/>
      <c r="RA138" s="13"/>
      <c r="RB138" s="13"/>
      <c r="RC138" s="13"/>
      <c r="RD138" s="13"/>
      <c r="RE138" s="13"/>
      <c r="RF138" s="13"/>
      <c r="RG138" s="13"/>
      <c r="RH138" s="13"/>
      <c r="RI138" s="13"/>
      <c r="RJ138" s="13"/>
      <c r="RK138" s="13"/>
      <c r="RL138" s="13"/>
      <c r="RM138" s="13"/>
      <c r="RN138" s="13"/>
      <c r="RO138" s="13"/>
      <c r="RP138" s="13"/>
      <c r="RQ138" s="13"/>
      <c r="RR138" s="13"/>
      <c r="RS138" s="13"/>
      <c r="RT138" s="13"/>
      <c r="RU138" s="13"/>
      <c r="RV138" s="13"/>
      <c r="RW138" s="13"/>
      <c r="RX138" s="13"/>
      <c r="RY138" s="13"/>
      <c r="RZ138" s="13"/>
      <c r="SA138" s="13"/>
      <c r="SB138" s="13"/>
      <c r="SC138" s="13"/>
      <c r="SD138" s="13"/>
      <c r="SE138" s="13"/>
      <c r="SF138" s="13"/>
      <c r="SG138" s="13"/>
      <c r="SH138" s="13"/>
      <c r="SI138" s="13"/>
      <c r="SJ138" s="13"/>
      <c r="SK138" s="13"/>
      <c r="SL138" s="13"/>
      <c r="SM138" s="13"/>
      <c r="SN138" s="13"/>
      <c r="SO138" s="13"/>
      <c r="SP138" s="13"/>
      <c r="SQ138" s="13"/>
      <c r="SR138" s="13"/>
      <c r="SS138" s="13"/>
      <c r="ST138" s="13"/>
      <c r="SU138" s="13"/>
      <c r="SV138" s="13"/>
      <c r="SW138" s="13"/>
      <c r="SX138" s="13"/>
      <c r="SY138" s="13"/>
      <c r="SZ138" s="13"/>
      <c r="TA138" s="13"/>
      <c r="TB138" s="13"/>
      <c r="TC138" s="13"/>
      <c r="TD138" s="13"/>
      <c r="TE138" s="13"/>
      <c r="TF138" s="13"/>
      <c r="TG138" s="13"/>
      <c r="TH138" s="13"/>
      <c r="TI138" s="13"/>
      <c r="TJ138" s="13"/>
      <c r="TK138" s="13"/>
      <c r="TL138" s="13"/>
      <c r="TM138" s="13"/>
      <c r="TN138" s="13"/>
      <c r="TO138" s="13"/>
      <c r="TP138" s="13"/>
      <c r="TQ138" s="13"/>
      <c r="TR138" s="13"/>
      <c r="TS138" s="13"/>
      <c r="TT138" s="13"/>
      <c r="TU138" s="13"/>
      <c r="TV138" s="13"/>
      <c r="TW138" s="13"/>
      <c r="TX138" s="13"/>
      <c r="TY138" s="13"/>
      <c r="TZ138" s="13"/>
      <c r="UA138" s="13"/>
      <c r="UB138" s="13"/>
      <c r="UC138" s="13"/>
      <c r="UD138" s="13"/>
      <c r="UE138" s="13"/>
      <c r="UF138" s="13"/>
      <c r="UG138" s="13"/>
      <c r="UH138" s="13"/>
      <c r="UI138" s="13"/>
      <c r="UJ138" s="13"/>
      <c r="UK138" s="13"/>
      <c r="UL138" s="13"/>
      <c r="UM138" s="13"/>
      <c r="UN138" s="13"/>
      <c r="UO138" s="13"/>
      <c r="UP138" s="13"/>
      <c r="UQ138" s="13"/>
      <c r="UR138" s="13"/>
      <c r="US138" s="13"/>
      <c r="UT138" s="13"/>
      <c r="UU138" s="13"/>
      <c r="UV138" s="13"/>
      <c r="UW138" s="13"/>
      <c r="UX138" s="13"/>
      <c r="UY138" s="13"/>
      <c r="UZ138" s="13"/>
      <c r="VA138" s="13"/>
      <c r="VB138" s="13"/>
      <c r="VC138" s="13"/>
      <c r="VD138" s="13"/>
      <c r="VE138" s="13"/>
      <c r="VF138" s="13"/>
      <c r="VG138" s="13"/>
      <c r="VH138" s="13"/>
      <c r="VI138" s="13"/>
      <c r="VJ138" s="13"/>
      <c r="VK138" s="13"/>
      <c r="VL138" s="13"/>
      <c r="VM138" s="13"/>
      <c r="VN138" s="13"/>
      <c r="VO138" s="13"/>
      <c r="VP138" s="13"/>
      <c r="VQ138" s="13"/>
      <c r="VR138" s="13"/>
      <c r="VS138" s="13"/>
      <c r="VT138" s="13"/>
    </row>
    <row r="139" spans="1:592" s="13" customFormat="1" ht="21" x14ac:dyDescent="0.2">
      <c r="A139" s="10" t="s">
        <v>392</v>
      </c>
      <c r="B139" s="15" t="s">
        <v>393</v>
      </c>
      <c r="C139" s="11" t="s">
        <v>379</v>
      </c>
      <c r="D139" s="11">
        <v>1129034</v>
      </c>
      <c r="E139" s="225" t="s">
        <v>325</v>
      </c>
      <c r="F139" s="192" t="s">
        <v>294</v>
      </c>
      <c r="G139" s="201">
        <f>IFERROR(VLOOKUP(D139,List1!$A$5:$B$227,2,FALSE),"0")</f>
        <v>1685000</v>
      </c>
      <c r="H139" s="41" t="str">
        <f>IFERROR(VLOOKUP(D139,List1!$D$5:$E$41,2,FALSE),"0")</f>
        <v>0</v>
      </c>
      <c r="I139" s="41" t="str">
        <f>IFERROR(VLOOKUP(D139,List1!$G$5:$H$227,2,FALSE),"0")</f>
        <v>0</v>
      </c>
      <c r="J139" s="40">
        <f t="shared" si="18"/>
        <v>1685000</v>
      </c>
      <c r="K139" s="41" t="str">
        <f>IFERROR(VLOOKUP(D139,List1!$J$5:$K$227,2,FALSE),"0")</f>
        <v>0</v>
      </c>
      <c r="L139" s="41" t="str">
        <f>IFERROR(VLOOKUP(D139,List1!$M$5:$N$112,2,FALSE),"0")</f>
        <v>0</v>
      </c>
      <c r="M139" s="43">
        <v>0</v>
      </c>
      <c r="N139" s="80">
        <f>VLOOKUP($D$5:$D$251,List2!$A$2:$B$241,2,FALSE)</f>
        <v>25000</v>
      </c>
      <c r="O139" s="80">
        <f>IFERROR(VLOOKUP($D$5:$D$260,List1!$Y$5:$Z$244,2,FALSE),0)</f>
        <v>0</v>
      </c>
      <c r="P139" s="202">
        <f>IFERROR(VLOOKUP($D$5:$D$260,List1!$AB$5:$AC$244,2,FALSE),0)</f>
        <v>0</v>
      </c>
      <c r="Q139" s="201">
        <f>IFERROR(VLOOKUP($D$5:$D$260,List1!$S$5:$T$231,2,FALSE),0)</f>
        <v>2534651</v>
      </c>
      <c r="R139" s="41">
        <v>0</v>
      </c>
      <c r="S139" s="41">
        <f>IFERROR(VLOOKUP($D$5:$D$260,List1!$AE$5:$AF$231,2,FALSE),0)</f>
        <v>500000</v>
      </c>
      <c r="T139" s="41">
        <f t="shared" si="19"/>
        <v>3034651</v>
      </c>
      <c r="U139" s="41" t="str">
        <f>IFERROR(VLOOKUP(D139,List1!$P$5:$Q$110,2,FALSE),"0")</f>
        <v>0</v>
      </c>
      <c r="V139" s="41">
        <v>0</v>
      </c>
      <c r="W139" s="248">
        <v>0</v>
      </c>
      <c r="X139" s="211">
        <f t="shared" si="20"/>
        <v>3034651</v>
      </c>
      <c r="Y139" s="219"/>
      <c r="Z139" s="80">
        <f>IFERROR(VLOOKUP($D$5:$D$260,#REF!,3,FALSE),0)</f>
        <v>0</v>
      </c>
      <c r="AA139" s="80">
        <f>IFERROR(VLOOKUP($D$5:$D$260,#REF!,3,FALSE),0)</f>
        <v>0</v>
      </c>
      <c r="AB139" s="243">
        <v>0</v>
      </c>
      <c r="AC139" s="202">
        <f t="shared" si="21"/>
        <v>0</v>
      </c>
      <c r="AD139" s="259">
        <f t="shared" si="22"/>
        <v>0</v>
      </c>
      <c r="AE139" s="260">
        <f t="shared" si="23"/>
        <v>0</v>
      </c>
      <c r="AF139" s="260">
        <f t="shared" si="24"/>
        <v>0</v>
      </c>
      <c r="AG139" s="260">
        <f t="shared" si="25"/>
        <v>0</v>
      </c>
    </row>
    <row r="140" spans="1:592" s="13" customFormat="1" ht="21" x14ac:dyDescent="0.2">
      <c r="A140" s="10" t="s">
        <v>394</v>
      </c>
      <c r="B140" s="15" t="s">
        <v>395</v>
      </c>
      <c r="C140" s="11" t="s">
        <v>379</v>
      </c>
      <c r="D140" s="11">
        <v>8227630</v>
      </c>
      <c r="E140" s="225" t="s">
        <v>325</v>
      </c>
      <c r="F140" s="192" t="s">
        <v>300</v>
      </c>
      <c r="G140" s="201">
        <f>IFERROR(VLOOKUP(D140,List1!$A$5:$B$227,2,FALSE),"0")</f>
        <v>734000</v>
      </c>
      <c r="H140" s="41" t="str">
        <f>IFERROR(VLOOKUP(D140,List1!$D$5:$E$41,2,FALSE),"0")</f>
        <v>0</v>
      </c>
      <c r="I140" s="41" t="str">
        <f>IFERROR(VLOOKUP(D140,List1!$G$5:$H$227,2,FALSE),"0")</f>
        <v>0</v>
      </c>
      <c r="J140" s="40">
        <f t="shared" si="18"/>
        <v>734000</v>
      </c>
      <c r="K140" s="41" t="str">
        <f>IFERROR(VLOOKUP(D140,List1!$J$5:$K$227,2,FALSE),"0")</f>
        <v>0</v>
      </c>
      <c r="L140" s="41">
        <f>IFERROR(VLOOKUP(D140,List1!$M$5:$N$112,2,FALSE),"0")</f>
        <v>31000</v>
      </c>
      <c r="M140" s="43">
        <v>0</v>
      </c>
      <c r="N140" s="80">
        <f>VLOOKUP($D$5:$D$251,List2!$A$2:$B$241,2,FALSE)</f>
        <v>0</v>
      </c>
      <c r="O140" s="80">
        <f>IFERROR(VLOOKUP($D$5:$D$260,List1!$Y$5:$Z$244,2,FALSE),0)</f>
        <v>0</v>
      </c>
      <c r="P140" s="202">
        <f>IFERROR(VLOOKUP($D$5:$D$260,List1!$AB$5:$AC$244,2,FALSE),0)</f>
        <v>0</v>
      </c>
      <c r="Q140" s="201">
        <f>IFERROR(VLOOKUP($D$5:$D$260,List1!$S$5:$T$231,2,FALSE),0)</f>
        <v>1149718</v>
      </c>
      <c r="R140" s="41">
        <v>0</v>
      </c>
      <c r="S140" s="41">
        <f>IFERROR(VLOOKUP($D$5:$D$260,List1!$AE$5:$AF$231,2,FALSE),0)</f>
        <v>250000</v>
      </c>
      <c r="T140" s="41">
        <f t="shared" si="19"/>
        <v>1399718</v>
      </c>
      <c r="U140" s="41" t="str">
        <f>IFERROR(VLOOKUP(D140,List1!$P$5:$Q$110,2,FALSE),"0")</f>
        <v>0</v>
      </c>
      <c r="V140" s="41">
        <v>0</v>
      </c>
      <c r="W140" s="248">
        <v>0</v>
      </c>
      <c r="X140" s="211">
        <f t="shared" si="20"/>
        <v>1399718</v>
      </c>
      <c r="Y140" s="219"/>
      <c r="Z140" s="80">
        <f>IFERROR(VLOOKUP($D$5:$D$260,#REF!,3,FALSE),0)</f>
        <v>0</v>
      </c>
      <c r="AA140" s="80">
        <f>IFERROR(VLOOKUP($D$5:$D$260,#REF!,3,FALSE),0)</f>
        <v>0</v>
      </c>
      <c r="AB140" s="243">
        <v>0</v>
      </c>
      <c r="AC140" s="202">
        <f t="shared" si="21"/>
        <v>0</v>
      </c>
      <c r="AD140" s="259">
        <f t="shared" si="22"/>
        <v>0</v>
      </c>
      <c r="AE140" s="260">
        <f t="shared" si="23"/>
        <v>0</v>
      </c>
      <c r="AF140" s="260">
        <f t="shared" si="24"/>
        <v>0</v>
      </c>
      <c r="AG140" s="260">
        <f t="shared" si="25"/>
        <v>0</v>
      </c>
    </row>
    <row r="141" spans="1:592" s="13" customFormat="1" ht="21" x14ac:dyDescent="0.2">
      <c r="A141" s="10" t="s">
        <v>396</v>
      </c>
      <c r="B141" s="15" t="s">
        <v>397</v>
      </c>
      <c r="C141" s="11" t="s">
        <v>379</v>
      </c>
      <c r="D141" s="11">
        <v>2587147</v>
      </c>
      <c r="E141" s="225" t="s">
        <v>325</v>
      </c>
      <c r="F141" s="192" t="s">
        <v>294</v>
      </c>
      <c r="G141" s="201">
        <f>IFERROR(VLOOKUP(D141,List1!$A$5:$B$227,2,FALSE),"0")</f>
        <v>266000</v>
      </c>
      <c r="H141" s="41" t="str">
        <f>IFERROR(VLOOKUP(D141,List1!$D$5:$E$41,2,FALSE),"0")</f>
        <v>0</v>
      </c>
      <c r="I141" s="41" t="str">
        <f>IFERROR(VLOOKUP(D141,List1!$G$5:$H$227,2,FALSE),"0")</f>
        <v>0</v>
      </c>
      <c r="J141" s="40">
        <f t="shared" si="18"/>
        <v>266000</v>
      </c>
      <c r="K141" s="41" t="str">
        <f>IFERROR(VLOOKUP(D141,List1!$J$5:$K$227,2,FALSE),"0")</f>
        <v>0</v>
      </c>
      <c r="L141" s="41">
        <f>IFERROR(VLOOKUP(D141,List1!$M$5:$N$112,2,FALSE),"0")</f>
        <v>9000</v>
      </c>
      <c r="M141" s="43">
        <v>0</v>
      </c>
      <c r="N141" s="80">
        <f>VLOOKUP($D$5:$D$251,List2!$A$2:$B$241,2,FALSE)</f>
        <v>0</v>
      </c>
      <c r="O141" s="80">
        <f>IFERROR(VLOOKUP($D$5:$D$260,List1!$Y$5:$Z$244,2,FALSE),0)</f>
        <v>0</v>
      </c>
      <c r="P141" s="202">
        <f>IFERROR(VLOOKUP($D$5:$D$260,List1!$AB$5:$AC$244,2,FALSE),0)</f>
        <v>0</v>
      </c>
      <c r="Q141" s="201">
        <f>IFERROR(VLOOKUP($D$5:$D$260,List1!$S$5:$T$231,2,FALSE),0)</f>
        <v>309865</v>
      </c>
      <c r="R141" s="41">
        <v>0</v>
      </c>
      <c r="S141" s="41">
        <f>IFERROR(VLOOKUP($D$5:$D$260,List1!$AE$5:$AF$231,2,FALSE),0)</f>
        <v>50000</v>
      </c>
      <c r="T141" s="41">
        <f t="shared" si="19"/>
        <v>359865</v>
      </c>
      <c r="U141" s="41" t="str">
        <f>IFERROR(VLOOKUP(D141,List1!$P$5:$Q$110,2,FALSE),"0")</f>
        <v>0</v>
      </c>
      <c r="V141" s="41">
        <v>0</v>
      </c>
      <c r="W141" s="248">
        <v>0</v>
      </c>
      <c r="X141" s="211">
        <f t="shared" si="20"/>
        <v>359865</v>
      </c>
      <c r="Y141" s="219"/>
      <c r="Z141" s="80">
        <f>IFERROR(VLOOKUP($D$5:$D$260,#REF!,3,FALSE),0)</f>
        <v>0</v>
      </c>
      <c r="AA141" s="80">
        <f>IFERROR(VLOOKUP($D$5:$D$260,#REF!,3,FALSE),0)</f>
        <v>0</v>
      </c>
      <c r="AB141" s="243">
        <v>0</v>
      </c>
      <c r="AC141" s="202">
        <f t="shared" si="21"/>
        <v>0</v>
      </c>
      <c r="AD141" s="259">
        <f t="shared" si="22"/>
        <v>0</v>
      </c>
      <c r="AE141" s="260">
        <f t="shared" si="23"/>
        <v>0</v>
      </c>
      <c r="AF141" s="260">
        <f t="shared" si="24"/>
        <v>0</v>
      </c>
      <c r="AG141" s="260">
        <f t="shared" si="25"/>
        <v>0</v>
      </c>
    </row>
    <row r="142" spans="1:592" s="13" customFormat="1" ht="21" x14ac:dyDescent="0.2">
      <c r="A142" s="10" t="s">
        <v>398</v>
      </c>
      <c r="B142" s="15" t="s">
        <v>399</v>
      </c>
      <c r="C142" s="11" t="s">
        <v>379</v>
      </c>
      <c r="D142" s="11">
        <v>2552651</v>
      </c>
      <c r="E142" s="225" t="s">
        <v>325</v>
      </c>
      <c r="F142" s="192" t="s">
        <v>294</v>
      </c>
      <c r="G142" s="201">
        <f>IFERROR(VLOOKUP(D142,List1!$A$5:$B$227,2,FALSE),"0")</f>
        <v>751000</v>
      </c>
      <c r="H142" s="41" t="str">
        <f>IFERROR(VLOOKUP(D142,List1!$D$5:$E$41,2,FALSE),"0")</f>
        <v>0</v>
      </c>
      <c r="I142" s="41" t="str">
        <f>IFERROR(VLOOKUP(D142,List1!$G$5:$H$227,2,FALSE),"0")</f>
        <v>0</v>
      </c>
      <c r="J142" s="40">
        <f t="shared" si="18"/>
        <v>751000</v>
      </c>
      <c r="K142" s="41" t="str">
        <f>IFERROR(VLOOKUP(D142,List1!$J$5:$K$227,2,FALSE),"0")</f>
        <v>0</v>
      </c>
      <c r="L142" s="41">
        <f>IFERROR(VLOOKUP(D142,List1!$M$5:$N$112,2,FALSE),"0")</f>
        <v>21000</v>
      </c>
      <c r="M142" s="43">
        <v>0</v>
      </c>
      <c r="N142" s="80">
        <f>VLOOKUP($D$5:$D$251,List2!$A$2:$B$241,2,FALSE)</f>
        <v>0</v>
      </c>
      <c r="O142" s="80">
        <f>IFERROR(VLOOKUP($D$5:$D$260,List1!$Y$5:$Z$244,2,FALSE),0)</f>
        <v>0</v>
      </c>
      <c r="P142" s="202">
        <f>IFERROR(VLOOKUP($D$5:$D$260,List1!$AB$5:$AC$244,2,FALSE),0)</f>
        <v>0</v>
      </c>
      <c r="Q142" s="201">
        <f>IFERROR(VLOOKUP($D$5:$D$260,List1!$S$5:$T$231,2,FALSE),0)</f>
        <v>729672</v>
      </c>
      <c r="R142" s="41">
        <v>0</v>
      </c>
      <c r="S142" s="41">
        <f>IFERROR(VLOOKUP($D$5:$D$260,List1!$AE$5:$AF$231,2,FALSE),0)</f>
        <v>150000</v>
      </c>
      <c r="T142" s="41">
        <f t="shared" si="19"/>
        <v>879672</v>
      </c>
      <c r="U142" s="41" t="str">
        <f>IFERROR(VLOOKUP(D142,List1!$P$5:$Q$110,2,FALSE),"0")</f>
        <v>0</v>
      </c>
      <c r="V142" s="41">
        <v>0</v>
      </c>
      <c r="W142" s="248">
        <v>0</v>
      </c>
      <c r="X142" s="211">
        <f t="shared" si="20"/>
        <v>879672</v>
      </c>
      <c r="Y142" s="219"/>
      <c r="Z142" s="80">
        <f>IFERROR(VLOOKUP($D$5:$D$260,#REF!,3,FALSE),0)</f>
        <v>0</v>
      </c>
      <c r="AA142" s="80">
        <f>IFERROR(VLOOKUP($D$5:$D$260,#REF!,3,FALSE),0)</f>
        <v>0</v>
      </c>
      <c r="AB142" s="243">
        <v>0</v>
      </c>
      <c r="AC142" s="202">
        <f t="shared" si="21"/>
        <v>0</v>
      </c>
      <c r="AD142" s="259">
        <f t="shared" si="22"/>
        <v>0</v>
      </c>
      <c r="AE142" s="260">
        <f t="shared" si="23"/>
        <v>0</v>
      </c>
      <c r="AF142" s="260">
        <f t="shared" si="24"/>
        <v>0</v>
      </c>
      <c r="AG142" s="260">
        <f t="shared" si="25"/>
        <v>0</v>
      </c>
    </row>
    <row r="143" spans="1:592" s="13" customFormat="1" ht="21" x14ac:dyDescent="0.2">
      <c r="A143" s="10" t="s">
        <v>400</v>
      </c>
      <c r="B143" s="15" t="s">
        <v>401</v>
      </c>
      <c r="C143" s="11" t="s">
        <v>379</v>
      </c>
      <c r="D143" s="11">
        <v>2574699</v>
      </c>
      <c r="E143" s="225" t="s">
        <v>325</v>
      </c>
      <c r="F143" s="192" t="s">
        <v>300</v>
      </c>
      <c r="G143" s="201">
        <f>IFERROR(VLOOKUP(D143,List1!$A$5:$B$227,2,FALSE),"0")</f>
        <v>870000</v>
      </c>
      <c r="H143" s="41" t="str">
        <f>IFERROR(VLOOKUP(D143,List1!$D$5:$E$41,2,FALSE),"0")</f>
        <v>0</v>
      </c>
      <c r="I143" s="41" t="str">
        <f>IFERROR(VLOOKUP(D143,List1!$G$5:$H$227,2,FALSE),"0")</f>
        <v>0</v>
      </c>
      <c r="J143" s="40">
        <f t="shared" si="18"/>
        <v>870000</v>
      </c>
      <c r="K143" s="41" t="str">
        <f>IFERROR(VLOOKUP(D143,List1!$J$5:$K$227,2,FALSE),"0")</f>
        <v>0</v>
      </c>
      <c r="L143" s="41">
        <f>IFERROR(VLOOKUP(D143,List1!$M$5:$N$112,2,FALSE),"0")</f>
        <v>27000</v>
      </c>
      <c r="M143" s="43">
        <v>0</v>
      </c>
      <c r="N143" s="80">
        <f>VLOOKUP($D$5:$D$251,List2!$A$2:$B$241,2,FALSE)</f>
        <v>0</v>
      </c>
      <c r="O143" s="80">
        <f>IFERROR(VLOOKUP($D$5:$D$260,List1!$Y$5:$Z$244,2,FALSE),0)</f>
        <v>0</v>
      </c>
      <c r="P143" s="202">
        <f>IFERROR(VLOOKUP($D$5:$D$260,List1!$AB$5:$AC$244,2,FALSE),0)</f>
        <v>0</v>
      </c>
      <c r="Q143" s="201">
        <f>IFERROR(VLOOKUP($D$5:$D$260,List1!$S$5:$T$231,2,FALSE),0)</f>
        <v>1110299</v>
      </c>
      <c r="R143" s="41">
        <v>0</v>
      </c>
      <c r="S143" s="41">
        <f>IFERROR(VLOOKUP($D$5:$D$260,List1!$AE$5:$AF$231,2,FALSE),0)</f>
        <v>250000</v>
      </c>
      <c r="T143" s="41">
        <f t="shared" si="19"/>
        <v>1360299</v>
      </c>
      <c r="U143" s="41" t="str">
        <f>IFERROR(VLOOKUP(D143,List1!$P$5:$Q$110,2,FALSE),"0")</f>
        <v>0</v>
      </c>
      <c r="V143" s="41">
        <v>0</v>
      </c>
      <c r="W143" s="248">
        <v>0</v>
      </c>
      <c r="X143" s="211">
        <f t="shared" si="20"/>
        <v>1360299</v>
      </c>
      <c r="Y143" s="219"/>
      <c r="Z143" s="80">
        <f>IFERROR(VLOOKUP($D$5:$D$260,#REF!,3,FALSE),0)</f>
        <v>0</v>
      </c>
      <c r="AA143" s="80">
        <f>IFERROR(VLOOKUP($D$5:$D$260,#REF!,3,FALSE),0)</f>
        <v>0</v>
      </c>
      <c r="AB143" s="243">
        <v>0</v>
      </c>
      <c r="AC143" s="202">
        <f t="shared" si="21"/>
        <v>0</v>
      </c>
      <c r="AD143" s="259">
        <f t="shared" si="22"/>
        <v>0</v>
      </c>
      <c r="AE143" s="260">
        <f t="shared" si="23"/>
        <v>0</v>
      </c>
      <c r="AF143" s="260">
        <f t="shared" si="24"/>
        <v>0</v>
      </c>
      <c r="AG143" s="260">
        <f t="shared" si="25"/>
        <v>0</v>
      </c>
    </row>
    <row r="144" spans="1:592" s="20" customFormat="1" ht="21" x14ac:dyDescent="0.2">
      <c r="A144" s="10" t="s">
        <v>402</v>
      </c>
      <c r="B144" s="15" t="s">
        <v>403</v>
      </c>
      <c r="C144" s="11" t="s">
        <v>379</v>
      </c>
      <c r="D144" s="11">
        <v>7207666</v>
      </c>
      <c r="E144" s="225" t="s">
        <v>325</v>
      </c>
      <c r="F144" s="192" t="s">
        <v>294</v>
      </c>
      <c r="G144" s="201">
        <f>IFERROR(VLOOKUP(D144,List1!$A$5:$B$227,2,FALSE),"0")</f>
        <v>636000</v>
      </c>
      <c r="H144" s="41" t="str">
        <f>IFERROR(VLOOKUP(D144,List1!$D$5:$E$41,2,FALSE),"0")</f>
        <v>0</v>
      </c>
      <c r="I144" s="41" t="str">
        <f>IFERROR(VLOOKUP(D144,List1!$G$5:$H$227,2,FALSE),"0")</f>
        <v>0</v>
      </c>
      <c r="J144" s="40">
        <f t="shared" si="18"/>
        <v>636000</v>
      </c>
      <c r="K144" s="41" t="str">
        <f>IFERROR(VLOOKUP(D144,List1!$J$5:$K$227,2,FALSE),"0")</f>
        <v>0</v>
      </c>
      <c r="L144" s="41">
        <f>IFERROR(VLOOKUP(D144,List1!$M$5:$N$112,2,FALSE),"0")</f>
        <v>46000</v>
      </c>
      <c r="M144" s="43">
        <v>0</v>
      </c>
      <c r="N144" s="80">
        <f>VLOOKUP($D$5:$D$251,List2!$A$2:$B$241,2,FALSE)</f>
        <v>0</v>
      </c>
      <c r="O144" s="80">
        <f>IFERROR(VLOOKUP($D$5:$D$260,List1!$Y$5:$Z$244,2,FALSE),0)</f>
        <v>0</v>
      </c>
      <c r="P144" s="202">
        <f>IFERROR(VLOOKUP($D$5:$D$260,List1!$AB$5:$AC$244,2,FALSE),0)</f>
        <v>0</v>
      </c>
      <c r="Q144" s="201">
        <f>IFERROR(VLOOKUP($D$5:$D$260,List1!$S$5:$T$231,2,FALSE),0)</f>
        <v>608999</v>
      </c>
      <c r="R144" s="41">
        <v>0</v>
      </c>
      <c r="S144" s="41">
        <f>IFERROR(VLOOKUP($D$5:$D$260,List1!$AE$5:$AF$231,2,FALSE),0)</f>
        <v>100000</v>
      </c>
      <c r="T144" s="41">
        <f t="shared" si="19"/>
        <v>708999</v>
      </c>
      <c r="U144" s="41" t="str">
        <f>IFERROR(VLOOKUP(D144,List1!$P$5:$Q$110,2,FALSE),"0")</f>
        <v>0</v>
      </c>
      <c r="V144" s="41">
        <v>0</v>
      </c>
      <c r="W144" s="248">
        <v>0</v>
      </c>
      <c r="X144" s="211">
        <f t="shared" si="20"/>
        <v>708999</v>
      </c>
      <c r="Y144" s="219"/>
      <c r="Z144" s="80">
        <f>IFERROR(VLOOKUP($D$5:$D$260,#REF!,3,FALSE),0)</f>
        <v>0</v>
      </c>
      <c r="AA144" s="80">
        <f>IFERROR(VLOOKUP($D$5:$D$260,#REF!,3,FALSE),0)</f>
        <v>0</v>
      </c>
      <c r="AB144" s="243">
        <v>0</v>
      </c>
      <c r="AC144" s="202">
        <f t="shared" si="21"/>
        <v>0</v>
      </c>
      <c r="AD144" s="259">
        <f t="shared" si="22"/>
        <v>0</v>
      </c>
      <c r="AE144" s="260">
        <f t="shared" si="23"/>
        <v>0</v>
      </c>
      <c r="AF144" s="260">
        <f t="shared" si="24"/>
        <v>0</v>
      </c>
      <c r="AG144" s="260">
        <f t="shared" si="25"/>
        <v>0</v>
      </c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  <c r="IT144" s="13"/>
      <c r="IU144" s="13"/>
      <c r="IV144" s="13"/>
      <c r="IW144" s="13"/>
      <c r="IX144" s="13"/>
      <c r="IY144" s="13"/>
      <c r="IZ144" s="13"/>
      <c r="JA144" s="13"/>
      <c r="JB144" s="13"/>
      <c r="JC144" s="13"/>
      <c r="JD144" s="13"/>
      <c r="JE144" s="13"/>
      <c r="JF144" s="13"/>
      <c r="JG144" s="13"/>
      <c r="JH144" s="13"/>
      <c r="JI144" s="13"/>
      <c r="JJ144" s="13"/>
      <c r="JK144" s="13"/>
      <c r="JL144" s="13"/>
      <c r="JM144" s="13"/>
      <c r="JN144" s="13"/>
      <c r="JO144" s="13"/>
      <c r="JP144" s="13"/>
      <c r="JQ144" s="13"/>
      <c r="JR144" s="13"/>
      <c r="JS144" s="13"/>
      <c r="JT144" s="13"/>
      <c r="JU144" s="13"/>
      <c r="JV144" s="13"/>
      <c r="JW144" s="13"/>
      <c r="JX144" s="13"/>
      <c r="JY144" s="13"/>
      <c r="JZ144" s="13"/>
      <c r="KA144" s="13"/>
      <c r="KB144" s="13"/>
      <c r="KC144" s="13"/>
      <c r="KD144" s="13"/>
      <c r="KE144" s="13"/>
      <c r="KF144" s="13"/>
      <c r="KG144" s="13"/>
      <c r="KH144" s="13"/>
      <c r="KI144" s="13"/>
      <c r="KJ144" s="13"/>
      <c r="KK144" s="13"/>
      <c r="KL144" s="13"/>
      <c r="KM144" s="13"/>
      <c r="KN144" s="13"/>
      <c r="KO144" s="13"/>
      <c r="KP144" s="13"/>
      <c r="KQ144" s="13"/>
      <c r="KR144" s="13"/>
      <c r="KS144" s="13"/>
      <c r="KT144" s="13"/>
      <c r="KU144" s="13"/>
      <c r="KV144" s="13"/>
      <c r="KW144" s="13"/>
      <c r="KX144" s="13"/>
      <c r="KY144" s="13"/>
      <c r="KZ144" s="13"/>
      <c r="LA144" s="13"/>
      <c r="LB144" s="13"/>
      <c r="LC144" s="13"/>
      <c r="LD144" s="13"/>
      <c r="LE144" s="13"/>
      <c r="LF144" s="13"/>
      <c r="LG144" s="13"/>
      <c r="LH144" s="13"/>
      <c r="LI144" s="13"/>
      <c r="LJ144" s="13"/>
      <c r="LK144" s="13"/>
      <c r="LL144" s="13"/>
      <c r="LM144" s="13"/>
      <c r="LN144" s="13"/>
      <c r="LO144" s="13"/>
      <c r="LP144" s="13"/>
      <c r="LQ144" s="13"/>
      <c r="LR144" s="13"/>
      <c r="LS144" s="13"/>
      <c r="LT144" s="13"/>
      <c r="LU144" s="13"/>
      <c r="LV144" s="13"/>
      <c r="LW144" s="13"/>
      <c r="LX144" s="13"/>
      <c r="LY144" s="13"/>
      <c r="LZ144" s="13"/>
      <c r="MA144" s="13"/>
      <c r="MB144" s="13"/>
      <c r="MC144" s="13"/>
      <c r="MD144" s="13"/>
      <c r="ME144" s="13"/>
      <c r="MF144" s="13"/>
      <c r="MG144" s="13"/>
      <c r="MH144" s="13"/>
      <c r="MI144" s="13"/>
      <c r="MJ144" s="13"/>
      <c r="MK144" s="13"/>
      <c r="ML144" s="13"/>
      <c r="MM144" s="13"/>
      <c r="MN144" s="13"/>
      <c r="MO144" s="13"/>
      <c r="MP144" s="13"/>
      <c r="MQ144" s="13"/>
      <c r="MR144" s="13"/>
      <c r="MS144" s="13"/>
      <c r="MT144" s="13"/>
      <c r="MU144" s="13"/>
      <c r="MV144" s="13"/>
      <c r="MW144" s="13"/>
      <c r="MX144" s="13"/>
      <c r="MY144" s="13"/>
      <c r="MZ144" s="13"/>
      <c r="NA144" s="13"/>
      <c r="NB144" s="13"/>
      <c r="NC144" s="13"/>
      <c r="ND144" s="13"/>
      <c r="NE144" s="13"/>
      <c r="NF144" s="13"/>
      <c r="NG144" s="13"/>
      <c r="NH144" s="13"/>
      <c r="NI144" s="13"/>
      <c r="NJ144" s="13"/>
      <c r="NK144" s="13"/>
      <c r="NL144" s="13"/>
      <c r="NM144" s="13"/>
      <c r="NN144" s="13"/>
      <c r="NO144" s="13"/>
      <c r="NP144" s="13"/>
      <c r="NQ144" s="13"/>
      <c r="NR144" s="13"/>
      <c r="NS144" s="13"/>
      <c r="NT144" s="13"/>
      <c r="NU144" s="13"/>
      <c r="NV144" s="13"/>
      <c r="NW144" s="13"/>
      <c r="NX144" s="13"/>
      <c r="NY144" s="13"/>
      <c r="NZ144" s="13"/>
      <c r="OA144" s="13"/>
      <c r="OB144" s="13"/>
      <c r="OC144" s="13"/>
      <c r="OD144" s="13"/>
      <c r="OE144" s="13"/>
      <c r="OF144" s="13"/>
      <c r="OG144" s="13"/>
      <c r="OH144" s="13"/>
      <c r="OI144" s="13"/>
      <c r="OJ144" s="13"/>
      <c r="OK144" s="13"/>
      <c r="OL144" s="13"/>
      <c r="OM144" s="13"/>
      <c r="ON144" s="13"/>
      <c r="OO144" s="13"/>
      <c r="OP144" s="13"/>
      <c r="OQ144" s="13"/>
      <c r="OR144" s="13"/>
      <c r="OS144" s="13"/>
      <c r="OT144" s="13"/>
      <c r="OU144" s="13"/>
      <c r="OV144" s="13"/>
      <c r="OW144" s="13"/>
      <c r="OX144" s="13"/>
      <c r="OY144" s="13"/>
      <c r="OZ144" s="13"/>
      <c r="PA144" s="13"/>
      <c r="PB144" s="13"/>
      <c r="PC144" s="13"/>
      <c r="PD144" s="13"/>
      <c r="PE144" s="13"/>
      <c r="PF144" s="13"/>
      <c r="PG144" s="13"/>
      <c r="PH144" s="13"/>
      <c r="PI144" s="13"/>
      <c r="PJ144" s="13"/>
      <c r="PK144" s="13"/>
      <c r="PL144" s="13"/>
      <c r="PM144" s="13"/>
      <c r="PN144" s="13"/>
      <c r="PO144" s="13"/>
      <c r="PP144" s="13"/>
      <c r="PQ144" s="13"/>
      <c r="PR144" s="13"/>
      <c r="PS144" s="13"/>
      <c r="PT144" s="13"/>
      <c r="PU144" s="13"/>
      <c r="PV144" s="13"/>
      <c r="PW144" s="13"/>
      <c r="PX144" s="13"/>
      <c r="PY144" s="13"/>
      <c r="PZ144" s="13"/>
      <c r="QA144" s="13"/>
      <c r="QB144" s="13"/>
      <c r="QC144" s="13"/>
      <c r="QD144" s="13"/>
      <c r="QE144" s="13"/>
      <c r="QF144" s="13"/>
      <c r="QG144" s="13"/>
      <c r="QH144" s="13"/>
      <c r="QI144" s="13"/>
      <c r="QJ144" s="13"/>
      <c r="QK144" s="13"/>
      <c r="QL144" s="13"/>
      <c r="QM144" s="13"/>
      <c r="QN144" s="13"/>
      <c r="QO144" s="13"/>
      <c r="QP144" s="13"/>
      <c r="QQ144" s="13"/>
      <c r="QR144" s="13"/>
      <c r="QS144" s="13"/>
      <c r="QT144" s="13"/>
      <c r="QU144" s="13"/>
      <c r="QV144" s="13"/>
      <c r="QW144" s="13"/>
      <c r="QX144" s="13"/>
      <c r="QY144" s="13"/>
      <c r="QZ144" s="13"/>
      <c r="RA144" s="13"/>
      <c r="RB144" s="13"/>
      <c r="RC144" s="13"/>
      <c r="RD144" s="13"/>
      <c r="RE144" s="13"/>
      <c r="RF144" s="13"/>
      <c r="RG144" s="13"/>
      <c r="RH144" s="13"/>
      <c r="RI144" s="13"/>
      <c r="RJ144" s="13"/>
      <c r="RK144" s="13"/>
      <c r="RL144" s="13"/>
      <c r="RM144" s="13"/>
      <c r="RN144" s="13"/>
      <c r="RO144" s="13"/>
      <c r="RP144" s="13"/>
      <c r="RQ144" s="13"/>
      <c r="RR144" s="13"/>
      <c r="RS144" s="13"/>
      <c r="RT144" s="13"/>
      <c r="RU144" s="13"/>
      <c r="RV144" s="13"/>
      <c r="RW144" s="13"/>
      <c r="RX144" s="13"/>
      <c r="RY144" s="13"/>
      <c r="RZ144" s="13"/>
      <c r="SA144" s="13"/>
      <c r="SB144" s="13"/>
      <c r="SC144" s="13"/>
      <c r="SD144" s="13"/>
      <c r="SE144" s="13"/>
      <c r="SF144" s="13"/>
      <c r="SG144" s="13"/>
      <c r="SH144" s="13"/>
      <c r="SI144" s="13"/>
      <c r="SJ144" s="13"/>
      <c r="SK144" s="13"/>
      <c r="SL144" s="13"/>
      <c r="SM144" s="13"/>
      <c r="SN144" s="13"/>
      <c r="SO144" s="13"/>
      <c r="SP144" s="13"/>
      <c r="SQ144" s="13"/>
      <c r="SR144" s="13"/>
      <c r="SS144" s="13"/>
      <c r="ST144" s="13"/>
      <c r="SU144" s="13"/>
      <c r="SV144" s="13"/>
      <c r="SW144" s="13"/>
      <c r="SX144" s="13"/>
      <c r="SY144" s="13"/>
      <c r="SZ144" s="13"/>
      <c r="TA144" s="13"/>
      <c r="TB144" s="13"/>
      <c r="TC144" s="13"/>
      <c r="TD144" s="13"/>
      <c r="TE144" s="13"/>
      <c r="TF144" s="13"/>
      <c r="TG144" s="13"/>
      <c r="TH144" s="13"/>
      <c r="TI144" s="13"/>
      <c r="TJ144" s="13"/>
      <c r="TK144" s="13"/>
      <c r="TL144" s="13"/>
      <c r="TM144" s="13"/>
      <c r="TN144" s="13"/>
      <c r="TO144" s="13"/>
      <c r="TP144" s="13"/>
      <c r="TQ144" s="13"/>
      <c r="TR144" s="13"/>
      <c r="TS144" s="13"/>
      <c r="TT144" s="13"/>
      <c r="TU144" s="13"/>
      <c r="TV144" s="13"/>
      <c r="TW144" s="13"/>
      <c r="TX144" s="13"/>
      <c r="TY144" s="13"/>
      <c r="TZ144" s="13"/>
      <c r="UA144" s="13"/>
      <c r="UB144" s="13"/>
      <c r="UC144" s="13"/>
      <c r="UD144" s="13"/>
      <c r="UE144" s="13"/>
      <c r="UF144" s="13"/>
      <c r="UG144" s="13"/>
      <c r="UH144" s="13"/>
      <c r="UI144" s="13"/>
      <c r="UJ144" s="13"/>
      <c r="UK144" s="13"/>
      <c r="UL144" s="13"/>
      <c r="UM144" s="13"/>
      <c r="UN144" s="13"/>
      <c r="UO144" s="13"/>
      <c r="UP144" s="13"/>
      <c r="UQ144" s="13"/>
      <c r="UR144" s="13"/>
      <c r="US144" s="13"/>
      <c r="UT144" s="13"/>
      <c r="UU144" s="13"/>
      <c r="UV144" s="13"/>
      <c r="UW144" s="13"/>
      <c r="UX144" s="13"/>
      <c r="UY144" s="13"/>
      <c r="UZ144" s="13"/>
      <c r="VA144" s="13"/>
      <c r="VB144" s="13"/>
      <c r="VC144" s="13"/>
      <c r="VD144" s="13"/>
      <c r="VE144" s="13"/>
      <c r="VF144" s="13"/>
      <c r="VG144" s="13"/>
      <c r="VH144" s="13"/>
      <c r="VI144" s="13"/>
      <c r="VJ144" s="13"/>
      <c r="VK144" s="13"/>
      <c r="VL144" s="13"/>
      <c r="VM144" s="13"/>
      <c r="VN144" s="13"/>
      <c r="VO144" s="13"/>
      <c r="VP144" s="13"/>
      <c r="VQ144" s="13"/>
      <c r="VR144" s="13"/>
      <c r="VS144" s="13"/>
      <c r="VT144" s="13"/>
    </row>
    <row r="145" spans="1:592" s="13" customFormat="1" ht="21" x14ac:dyDescent="0.2">
      <c r="A145" s="10" t="s">
        <v>404</v>
      </c>
      <c r="B145" s="15" t="s">
        <v>405</v>
      </c>
      <c r="C145" s="11" t="s">
        <v>379</v>
      </c>
      <c r="D145" s="11">
        <v>2928724</v>
      </c>
      <c r="E145" s="225" t="s">
        <v>325</v>
      </c>
      <c r="F145" s="192" t="s">
        <v>300</v>
      </c>
      <c r="G145" s="201">
        <f>IFERROR(VLOOKUP(D145,List1!$A$5:$B$227,2,FALSE),"0")</f>
        <v>1723000</v>
      </c>
      <c r="H145" s="41" t="str">
        <f>IFERROR(VLOOKUP(D145,List1!$D$5:$E$41,2,FALSE),"0")</f>
        <v>0</v>
      </c>
      <c r="I145" s="41">
        <f>IFERROR(VLOOKUP(D145,List1!$G$5:$H$227,2,FALSE),"0")</f>
        <v>221810</v>
      </c>
      <c r="J145" s="40">
        <f t="shared" si="18"/>
        <v>1944810</v>
      </c>
      <c r="K145" s="41" t="str">
        <f>IFERROR(VLOOKUP(D145,List1!$J$5:$K$227,2,FALSE),"0")</f>
        <v>0</v>
      </c>
      <c r="L145" s="41" t="str">
        <f>IFERROR(VLOOKUP(D145,List1!$M$5:$N$112,2,FALSE),"0")</f>
        <v>0</v>
      </c>
      <c r="M145" s="43">
        <v>0</v>
      </c>
      <c r="N145" s="80">
        <f>VLOOKUP($D$5:$D$251,List2!$A$2:$B$241,2,FALSE)</f>
        <v>0</v>
      </c>
      <c r="O145" s="80">
        <f>IFERROR(VLOOKUP($D$5:$D$260,List1!$Y$5:$Z$244,2,FALSE),0)</f>
        <v>0</v>
      </c>
      <c r="P145" s="202">
        <f>IFERROR(VLOOKUP($D$5:$D$260,List1!$AB$5:$AC$244,2,FALSE),0)</f>
        <v>0</v>
      </c>
      <c r="Q145" s="201">
        <f>IFERROR(VLOOKUP($D$5:$D$260,List1!$S$5:$T$231,2,FALSE),0)</f>
        <v>1689767</v>
      </c>
      <c r="R145" s="41">
        <v>0</v>
      </c>
      <c r="S145" s="41">
        <f>IFERROR(VLOOKUP($D$5:$D$260,List1!$AE$5:$AF$231,2,FALSE),0)</f>
        <v>350000</v>
      </c>
      <c r="T145" s="41">
        <f t="shared" si="19"/>
        <v>2039767</v>
      </c>
      <c r="U145" s="41" t="str">
        <f>IFERROR(VLOOKUP(D145,List1!$P$5:$Q$110,2,FALSE),"0")</f>
        <v>0</v>
      </c>
      <c r="V145" s="41">
        <v>0</v>
      </c>
      <c r="W145" s="248">
        <v>0</v>
      </c>
      <c r="X145" s="211">
        <f t="shared" si="20"/>
        <v>2039767</v>
      </c>
      <c r="Y145" s="219"/>
      <c r="Z145" s="80">
        <f>IFERROR(VLOOKUP($D$5:$D$260,#REF!,3,FALSE),0)</f>
        <v>0</v>
      </c>
      <c r="AA145" s="80">
        <f>IFERROR(VLOOKUP($D$5:$D$260,#REF!,3,FALSE),0)</f>
        <v>0</v>
      </c>
      <c r="AB145" s="243">
        <v>0</v>
      </c>
      <c r="AC145" s="202">
        <f t="shared" si="21"/>
        <v>0</v>
      </c>
      <c r="AD145" s="259">
        <f t="shared" si="22"/>
        <v>0</v>
      </c>
      <c r="AE145" s="260">
        <f t="shared" si="23"/>
        <v>0</v>
      </c>
      <c r="AF145" s="260">
        <f t="shared" si="24"/>
        <v>0</v>
      </c>
      <c r="AG145" s="260">
        <f t="shared" si="25"/>
        <v>0</v>
      </c>
    </row>
    <row r="146" spans="1:592" s="13" customFormat="1" x14ac:dyDescent="0.2">
      <c r="A146" s="10" t="s">
        <v>157</v>
      </c>
      <c r="B146" s="11">
        <v>63125137</v>
      </c>
      <c r="C146" s="11" t="s">
        <v>288</v>
      </c>
      <c r="D146" s="11">
        <v>1220799</v>
      </c>
      <c r="E146" s="228" t="s">
        <v>406</v>
      </c>
      <c r="F146" s="192" t="s">
        <v>278</v>
      </c>
      <c r="G146" s="201">
        <f>IFERROR(VLOOKUP(D146,List1!$A$5:$B$227,2,FALSE),"0")</f>
        <v>1883000</v>
      </c>
      <c r="H146" s="41" t="str">
        <f>IFERROR(VLOOKUP(D146,List1!$D$5:$E$41,2,FALSE),"0")</f>
        <v>0</v>
      </c>
      <c r="I146" s="41">
        <f>IFERROR(VLOOKUP(D146,List1!$G$5:$H$227,2,FALSE),"0")</f>
        <v>252000</v>
      </c>
      <c r="J146" s="40">
        <f t="shared" si="18"/>
        <v>2135000</v>
      </c>
      <c r="K146" s="41">
        <f>IFERROR(VLOOKUP(D146,List1!$J$5:$K$227,2,FALSE),"0")</f>
        <v>87000</v>
      </c>
      <c r="L146" s="41">
        <f>IFERROR(VLOOKUP(D146,List1!$M$5:$N$112,2,FALSE),"0")</f>
        <v>37000</v>
      </c>
      <c r="M146" s="43">
        <v>0</v>
      </c>
      <c r="N146" s="80">
        <f>VLOOKUP($D$5:$D$251,List2!$A$2:$B$241,2,FALSE)</f>
        <v>280517</v>
      </c>
      <c r="O146" s="80">
        <f>IFERROR(VLOOKUP($D$5:$D$260,List1!$Y$5:$Z$244,2,FALSE),0)</f>
        <v>0</v>
      </c>
      <c r="P146" s="202">
        <f>IFERROR(VLOOKUP($D$5:$D$260,List1!$AB$5:$AC$244,2,FALSE),0)</f>
        <v>0</v>
      </c>
      <c r="Q146" s="201">
        <f>IFERROR(VLOOKUP($D$5:$D$260,List1!$S$5:$T$231,2,FALSE),0)</f>
        <v>1636002</v>
      </c>
      <c r="R146" s="41">
        <v>0</v>
      </c>
      <c r="S146" s="41">
        <f>IFERROR(VLOOKUP($D$5:$D$260,List1!$AE$5:$AF$231,2,FALSE),0)</f>
        <v>70000</v>
      </c>
      <c r="T146" s="41">
        <f t="shared" si="19"/>
        <v>1706002</v>
      </c>
      <c r="U146" s="41">
        <f>IFERROR(VLOOKUP(D146,List1!$P$5:$Q$110,2,FALSE),"0")</f>
        <v>237000</v>
      </c>
      <c r="V146" s="41">
        <v>0</v>
      </c>
      <c r="W146" s="248">
        <v>0</v>
      </c>
      <c r="X146" s="211">
        <f t="shared" si="20"/>
        <v>1943002</v>
      </c>
      <c r="Y146" s="219"/>
      <c r="Z146" s="80">
        <f>IFERROR(VLOOKUP($D$5:$D$260,#REF!,3,FALSE),0)</f>
        <v>0</v>
      </c>
      <c r="AA146" s="80">
        <f>IFERROR(VLOOKUP($D$5:$D$260,#REF!,3,FALSE),0)</f>
        <v>0</v>
      </c>
      <c r="AB146" s="243">
        <v>0</v>
      </c>
      <c r="AC146" s="202">
        <f t="shared" si="21"/>
        <v>0</v>
      </c>
      <c r="AD146" s="259">
        <f t="shared" si="22"/>
        <v>-237000</v>
      </c>
      <c r="AE146" s="260">
        <f t="shared" si="23"/>
        <v>-1</v>
      </c>
      <c r="AF146" s="260">
        <f t="shared" si="24"/>
        <v>-1</v>
      </c>
      <c r="AG146" s="260">
        <f t="shared" si="25"/>
        <v>-1</v>
      </c>
    </row>
    <row r="147" spans="1:592" s="13" customFormat="1" x14ac:dyDescent="0.2">
      <c r="A147" s="10" t="s">
        <v>157</v>
      </c>
      <c r="B147" s="11">
        <v>63125137</v>
      </c>
      <c r="C147" s="11" t="s">
        <v>288</v>
      </c>
      <c r="D147" s="11">
        <v>1229581</v>
      </c>
      <c r="E147" s="228" t="s">
        <v>407</v>
      </c>
      <c r="F147" s="192" t="s">
        <v>269</v>
      </c>
      <c r="G147" s="201">
        <f>IFERROR(VLOOKUP(D147,List1!$A$5:$B$227,2,FALSE),"0")</f>
        <v>2552000</v>
      </c>
      <c r="H147" s="41" t="str">
        <f>IFERROR(VLOOKUP(D147,List1!$D$5:$E$41,2,FALSE),"0")</f>
        <v>0</v>
      </c>
      <c r="I147" s="41">
        <f>IFERROR(VLOOKUP(D147,List1!$G$5:$H$227,2,FALSE),"0")</f>
        <v>180000</v>
      </c>
      <c r="J147" s="40">
        <f t="shared" si="18"/>
        <v>2732000</v>
      </c>
      <c r="K147" s="41">
        <f>IFERROR(VLOOKUP(D147,List1!$J$5:$K$227,2,FALSE),"0")</f>
        <v>118000</v>
      </c>
      <c r="L147" s="41">
        <f>IFERROR(VLOOKUP(D147,List1!$M$5:$N$112,2,FALSE),"0")</f>
        <v>54000</v>
      </c>
      <c r="M147" s="43">
        <v>0</v>
      </c>
      <c r="N147" s="80">
        <f>VLOOKUP($D$5:$D$251,List2!$A$2:$B$241,2,FALSE)</f>
        <v>586056</v>
      </c>
      <c r="O147" s="80">
        <f>IFERROR(VLOOKUP($D$5:$D$260,List1!$Y$5:$Z$244,2,FALSE),0)</f>
        <v>0</v>
      </c>
      <c r="P147" s="202">
        <f>IFERROR(VLOOKUP($D$5:$D$260,List1!$AB$5:$AC$244,2,FALSE),0)</f>
        <v>650000</v>
      </c>
      <c r="Q147" s="201">
        <f>IFERROR(VLOOKUP($D$5:$D$260,List1!$S$5:$T$231,2,FALSE),0)</f>
        <v>2322662</v>
      </c>
      <c r="R147" s="41">
        <v>0</v>
      </c>
      <c r="S147" s="41">
        <f>IFERROR(VLOOKUP($D$5:$D$260,List1!$AE$5:$AF$231,2,FALSE),0)</f>
        <v>0</v>
      </c>
      <c r="T147" s="41">
        <f t="shared" si="19"/>
        <v>2322662</v>
      </c>
      <c r="U147" s="41">
        <f>IFERROR(VLOOKUP(D147,List1!$P$5:$Q$110,2,FALSE),"0")</f>
        <v>348000</v>
      </c>
      <c r="V147" s="41">
        <v>0</v>
      </c>
      <c r="W147" s="248">
        <v>750000</v>
      </c>
      <c r="X147" s="211">
        <f t="shared" si="20"/>
        <v>3420662</v>
      </c>
      <c r="Y147" s="219"/>
      <c r="Z147" s="80">
        <f>IFERROR(VLOOKUP($D$5:$D$260,#REF!,3,FALSE),0)</f>
        <v>0</v>
      </c>
      <c r="AA147" s="80">
        <f>IFERROR(VLOOKUP($D$5:$D$260,#REF!,3,FALSE),0)</f>
        <v>0</v>
      </c>
      <c r="AB147" s="243">
        <v>900000</v>
      </c>
      <c r="AC147" s="202">
        <f t="shared" si="21"/>
        <v>900000</v>
      </c>
      <c r="AD147" s="259">
        <f t="shared" si="22"/>
        <v>-348000</v>
      </c>
      <c r="AE147" s="260">
        <f t="shared" si="23"/>
        <v>-1</v>
      </c>
      <c r="AF147" s="260">
        <f t="shared" si="24"/>
        <v>-1</v>
      </c>
      <c r="AG147" s="260">
        <f t="shared" si="25"/>
        <v>-1</v>
      </c>
    </row>
    <row r="148" spans="1:592" s="24" customFormat="1" x14ac:dyDescent="0.2">
      <c r="A148" s="10" t="s">
        <v>157</v>
      </c>
      <c r="B148" s="11">
        <v>63125137</v>
      </c>
      <c r="C148" s="11" t="s">
        <v>288</v>
      </c>
      <c r="D148" s="11">
        <v>3801846</v>
      </c>
      <c r="E148" s="228" t="s">
        <v>407</v>
      </c>
      <c r="F148" s="192" t="s">
        <v>269</v>
      </c>
      <c r="G148" s="201">
        <f>IFERROR(VLOOKUP(D148,List1!$A$5:$B$227,2,FALSE),"0")</f>
        <v>1150000</v>
      </c>
      <c r="H148" s="41" t="str">
        <f>IFERROR(VLOOKUP(D148,List1!$D$5:$E$41,2,FALSE),"0")</f>
        <v>0</v>
      </c>
      <c r="I148" s="41">
        <f>IFERROR(VLOOKUP(D148,List1!$G$5:$H$227,2,FALSE),"0")</f>
        <v>246240</v>
      </c>
      <c r="J148" s="40">
        <f t="shared" si="18"/>
        <v>1396240</v>
      </c>
      <c r="K148" s="41">
        <f>IFERROR(VLOOKUP(D148,List1!$J$5:$K$227,2,FALSE),"0")</f>
        <v>57000</v>
      </c>
      <c r="L148" s="41">
        <f>IFERROR(VLOOKUP(D148,List1!$M$5:$N$112,2,FALSE),"0")</f>
        <v>24000</v>
      </c>
      <c r="M148" s="43">
        <v>0</v>
      </c>
      <c r="N148" s="80">
        <f>VLOOKUP($D$5:$D$251,List2!$A$2:$B$241,2,FALSE)</f>
        <v>125472</v>
      </c>
      <c r="O148" s="80">
        <f>IFERROR(VLOOKUP($D$5:$D$260,List1!$Y$5:$Z$244,2,FALSE),0)</f>
        <v>0</v>
      </c>
      <c r="P148" s="202">
        <f>IFERROR(VLOOKUP($D$5:$D$260,List1!$AB$5:$AC$244,2,FALSE),0)</f>
        <v>550000</v>
      </c>
      <c r="Q148" s="201">
        <f>IFERROR(VLOOKUP($D$5:$D$260,List1!$S$5:$T$231,2,FALSE),0)</f>
        <v>1025842</v>
      </c>
      <c r="R148" s="41">
        <v>0</v>
      </c>
      <c r="S148" s="41">
        <f>IFERROR(VLOOKUP($D$5:$D$260,List1!$AE$5:$AF$231,2,FALSE),0)</f>
        <v>0</v>
      </c>
      <c r="T148" s="41">
        <f t="shared" si="19"/>
        <v>1025842</v>
      </c>
      <c r="U148" s="41">
        <f>IFERROR(VLOOKUP(D148,List1!$P$5:$Q$110,2,FALSE),"0")</f>
        <v>154000</v>
      </c>
      <c r="V148" s="41">
        <v>0</v>
      </c>
      <c r="W148" s="248">
        <v>550000</v>
      </c>
      <c r="X148" s="211">
        <f t="shared" si="20"/>
        <v>1729842</v>
      </c>
      <c r="Y148" s="219"/>
      <c r="Z148" s="80">
        <f>IFERROR(VLOOKUP($D$5:$D$260,#REF!,3,FALSE),0)</f>
        <v>0</v>
      </c>
      <c r="AA148" s="80">
        <f>IFERROR(VLOOKUP($D$5:$D$260,#REF!,3,FALSE),0)</f>
        <v>0</v>
      </c>
      <c r="AB148" s="243">
        <v>650000</v>
      </c>
      <c r="AC148" s="202">
        <f t="shared" si="21"/>
        <v>650000</v>
      </c>
      <c r="AD148" s="259">
        <f t="shared" si="22"/>
        <v>-154000</v>
      </c>
      <c r="AE148" s="260">
        <f t="shared" si="23"/>
        <v>-1</v>
      </c>
      <c r="AF148" s="260">
        <f t="shared" si="24"/>
        <v>-1</v>
      </c>
      <c r="AG148" s="260">
        <f t="shared" si="25"/>
        <v>-1</v>
      </c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  <c r="IU148" s="23"/>
      <c r="IV148" s="23"/>
      <c r="IW148" s="23"/>
      <c r="IX148" s="23"/>
      <c r="IY148" s="23"/>
      <c r="IZ148" s="23"/>
      <c r="JA148" s="23"/>
      <c r="JB148" s="23"/>
      <c r="JC148" s="23"/>
      <c r="JD148" s="23"/>
      <c r="JE148" s="23"/>
      <c r="JF148" s="23"/>
      <c r="JG148" s="23"/>
      <c r="JH148" s="23"/>
      <c r="JI148" s="23"/>
      <c r="JJ148" s="23"/>
      <c r="JK148" s="23"/>
      <c r="JL148" s="23"/>
      <c r="JM148" s="23"/>
      <c r="JN148" s="23"/>
      <c r="JO148" s="23"/>
      <c r="JP148" s="23"/>
      <c r="JQ148" s="23"/>
      <c r="JR148" s="23"/>
      <c r="JS148" s="23"/>
      <c r="JT148" s="23"/>
      <c r="JU148" s="23"/>
      <c r="JV148" s="23"/>
      <c r="JW148" s="23"/>
      <c r="JX148" s="23"/>
      <c r="JY148" s="23"/>
      <c r="JZ148" s="23"/>
      <c r="KA148" s="23"/>
      <c r="KB148" s="23"/>
      <c r="KC148" s="23"/>
      <c r="KD148" s="23"/>
      <c r="KE148" s="23"/>
      <c r="KF148" s="23"/>
      <c r="KG148" s="23"/>
      <c r="KH148" s="23"/>
      <c r="KI148" s="23"/>
      <c r="KJ148" s="23"/>
      <c r="KK148" s="23"/>
      <c r="KL148" s="23"/>
      <c r="KM148" s="23"/>
      <c r="KN148" s="23"/>
      <c r="KO148" s="23"/>
      <c r="KP148" s="23"/>
      <c r="KQ148" s="23"/>
      <c r="KR148" s="23"/>
      <c r="KS148" s="23"/>
      <c r="KT148" s="23"/>
      <c r="KU148" s="23"/>
      <c r="KV148" s="23"/>
      <c r="KW148" s="23"/>
      <c r="KX148" s="23"/>
      <c r="KY148" s="23"/>
      <c r="KZ148" s="23"/>
      <c r="LA148" s="23"/>
      <c r="LB148" s="23"/>
      <c r="LC148" s="23"/>
      <c r="LD148" s="23"/>
      <c r="LE148" s="23"/>
      <c r="LF148" s="23"/>
      <c r="LG148" s="23"/>
      <c r="LH148" s="23"/>
      <c r="LI148" s="23"/>
      <c r="LJ148" s="23"/>
      <c r="LK148" s="23"/>
      <c r="LL148" s="23"/>
      <c r="LM148" s="23"/>
      <c r="LN148" s="23"/>
      <c r="LO148" s="23"/>
      <c r="LP148" s="23"/>
      <c r="LQ148" s="23"/>
      <c r="LR148" s="23"/>
      <c r="LS148" s="23"/>
      <c r="LT148" s="23"/>
      <c r="LU148" s="23"/>
      <c r="LV148" s="23"/>
      <c r="LW148" s="23"/>
      <c r="LX148" s="23"/>
      <c r="LY148" s="23"/>
      <c r="LZ148" s="23"/>
      <c r="MA148" s="23"/>
      <c r="MB148" s="23"/>
      <c r="MC148" s="23"/>
      <c r="MD148" s="23"/>
      <c r="ME148" s="23"/>
      <c r="MF148" s="23"/>
      <c r="MG148" s="23"/>
      <c r="MH148" s="23"/>
      <c r="MI148" s="23"/>
      <c r="MJ148" s="23"/>
      <c r="MK148" s="23"/>
      <c r="ML148" s="23"/>
      <c r="MM148" s="23"/>
      <c r="MN148" s="23"/>
      <c r="MO148" s="23"/>
      <c r="MP148" s="23"/>
      <c r="MQ148" s="23"/>
      <c r="MR148" s="23"/>
      <c r="MS148" s="23"/>
      <c r="MT148" s="23"/>
      <c r="MU148" s="23"/>
      <c r="MV148" s="23"/>
      <c r="MW148" s="23"/>
      <c r="MX148" s="23"/>
      <c r="MY148" s="23"/>
      <c r="MZ148" s="23"/>
      <c r="NA148" s="23"/>
      <c r="NB148" s="23"/>
      <c r="NC148" s="23"/>
      <c r="ND148" s="23"/>
      <c r="NE148" s="23"/>
      <c r="NF148" s="23"/>
      <c r="NG148" s="23"/>
      <c r="NH148" s="23"/>
      <c r="NI148" s="23"/>
      <c r="NJ148" s="23"/>
      <c r="NK148" s="23"/>
      <c r="NL148" s="23"/>
      <c r="NM148" s="23"/>
      <c r="NN148" s="23"/>
      <c r="NO148" s="23"/>
      <c r="NP148" s="23"/>
      <c r="NQ148" s="23"/>
      <c r="NR148" s="23"/>
      <c r="NS148" s="23"/>
      <c r="NT148" s="23"/>
      <c r="NU148" s="23"/>
      <c r="NV148" s="23"/>
      <c r="NW148" s="23"/>
      <c r="NX148" s="23"/>
      <c r="NY148" s="23"/>
      <c r="NZ148" s="23"/>
      <c r="OA148" s="23"/>
      <c r="OB148" s="23"/>
      <c r="OC148" s="23"/>
      <c r="OD148" s="23"/>
      <c r="OE148" s="23"/>
      <c r="OF148" s="23"/>
      <c r="OG148" s="23"/>
      <c r="OH148" s="23"/>
      <c r="OI148" s="23"/>
      <c r="OJ148" s="23"/>
      <c r="OK148" s="23"/>
      <c r="OL148" s="23"/>
      <c r="OM148" s="23"/>
      <c r="ON148" s="23"/>
      <c r="OO148" s="23"/>
      <c r="OP148" s="23"/>
      <c r="OQ148" s="23"/>
      <c r="OR148" s="23"/>
      <c r="OS148" s="23"/>
      <c r="OT148" s="23"/>
      <c r="OU148" s="23"/>
      <c r="OV148" s="23"/>
      <c r="OW148" s="23"/>
      <c r="OX148" s="23"/>
      <c r="OY148" s="23"/>
      <c r="OZ148" s="23"/>
      <c r="PA148" s="23"/>
      <c r="PB148" s="23"/>
      <c r="PC148" s="23"/>
      <c r="PD148" s="23"/>
      <c r="PE148" s="23"/>
      <c r="PF148" s="23"/>
      <c r="PG148" s="23"/>
      <c r="PH148" s="23"/>
      <c r="PI148" s="23"/>
      <c r="PJ148" s="23"/>
      <c r="PK148" s="23"/>
      <c r="PL148" s="23"/>
      <c r="PM148" s="23"/>
      <c r="PN148" s="23"/>
      <c r="PO148" s="23"/>
      <c r="PP148" s="23"/>
      <c r="PQ148" s="23"/>
      <c r="PR148" s="23"/>
      <c r="PS148" s="23"/>
      <c r="PT148" s="23"/>
      <c r="PU148" s="23"/>
      <c r="PV148" s="23"/>
      <c r="PW148" s="23"/>
      <c r="PX148" s="23"/>
      <c r="PY148" s="23"/>
      <c r="PZ148" s="23"/>
      <c r="QA148" s="23"/>
      <c r="QB148" s="23"/>
      <c r="QC148" s="23"/>
      <c r="QD148" s="23"/>
      <c r="QE148" s="23"/>
      <c r="QF148" s="23"/>
      <c r="QG148" s="23"/>
      <c r="QH148" s="23"/>
      <c r="QI148" s="23"/>
      <c r="QJ148" s="23"/>
      <c r="QK148" s="23"/>
      <c r="QL148" s="23"/>
      <c r="QM148" s="23"/>
      <c r="QN148" s="23"/>
      <c r="QO148" s="23"/>
      <c r="QP148" s="23"/>
      <c r="QQ148" s="23"/>
      <c r="QR148" s="23"/>
      <c r="QS148" s="23"/>
      <c r="QT148" s="23"/>
      <c r="QU148" s="23"/>
      <c r="QV148" s="23"/>
      <c r="QW148" s="23"/>
      <c r="QX148" s="23"/>
      <c r="QY148" s="23"/>
      <c r="QZ148" s="23"/>
      <c r="RA148" s="23"/>
      <c r="RB148" s="23"/>
      <c r="RC148" s="23"/>
      <c r="RD148" s="23"/>
      <c r="RE148" s="23"/>
      <c r="RF148" s="23"/>
      <c r="RG148" s="23"/>
      <c r="RH148" s="23"/>
      <c r="RI148" s="23"/>
      <c r="RJ148" s="23"/>
      <c r="RK148" s="23"/>
      <c r="RL148" s="23"/>
      <c r="RM148" s="23"/>
      <c r="RN148" s="23"/>
      <c r="RO148" s="23"/>
      <c r="RP148" s="23"/>
      <c r="RQ148" s="23"/>
      <c r="RR148" s="23"/>
      <c r="RS148" s="23"/>
      <c r="RT148" s="23"/>
      <c r="RU148" s="23"/>
      <c r="RV148" s="23"/>
      <c r="RW148" s="23"/>
      <c r="RX148" s="23"/>
      <c r="RY148" s="23"/>
      <c r="RZ148" s="23"/>
      <c r="SA148" s="23"/>
      <c r="SB148" s="23"/>
      <c r="SC148" s="23"/>
      <c r="SD148" s="23"/>
      <c r="SE148" s="23"/>
      <c r="SF148" s="23"/>
      <c r="SG148" s="23"/>
      <c r="SH148" s="23"/>
      <c r="SI148" s="23"/>
      <c r="SJ148" s="23"/>
      <c r="SK148" s="23"/>
      <c r="SL148" s="23"/>
      <c r="SM148" s="23"/>
      <c r="SN148" s="23"/>
      <c r="SO148" s="23"/>
      <c r="SP148" s="23"/>
      <c r="SQ148" s="23"/>
      <c r="SR148" s="23"/>
      <c r="SS148" s="23"/>
      <c r="ST148" s="23"/>
      <c r="SU148" s="23"/>
      <c r="SV148" s="23"/>
      <c r="SW148" s="23"/>
      <c r="SX148" s="23"/>
      <c r="SY148" s="23"/>
      <c r="SZ148" s="23"/>
      <c r="TA148" s="23"/>
      <c r="TB148" s="23"/>
      <c r="TC148" s="23"/>
      <c r="TD148" s="23"/>
      <c r="TE148" s="23"/>
      <c r="TF148" s="23"/>
      <c r="TG148" s="23"/>
      <c r="TH148" s="23"/>
      <c r="TI148" s="23"/>
      <c r="TJ148" s="23"/>
      <c r="TK148" s="23"/>
      <c r="TL148" s="23"/>
      <c r="TM148" s="23"/>
      <c r="TN148" s="23"/>
      <c r="TO148" s="23"/>
      <c r="TP148" s="23"/>
      <c r="TQ148" s="23"/>
      <c r="TR148" s="23"/>
      <c r="TS148" s="23"/>
      <c r="TT148" s="23"/>
      <c r="TU148" s="23"/>
      <c r="TV148" s="23"/>
      <c r="TW148" s="23"/>
      <c r="TX148" s="23"/>
      <c r="TY148" s="23"/>
      <c r="TZ148" s="23"/>
      <c r="UA148" s="23"/>
      <c r="UB148" s="23"/>
      <c r="UC148" s="23"/>
      <c r="UD148" s="23"/>
      <c r="UE148" s="23"/>
      <c r="UF148" s="23"/>
      <c r="UG148" s="23"/>
      <c r="UH148" s="23"/>
      <c r="UI148" s="23"/>
      <c r="UJ148" s="23"/>
      <c r="UK148" s="23"/>
      <c r="UL148" s="23"/>
      <c r="UM148" s="23"/>
      <c r="UN148" s="23"/>
      <c r="UO148" s="23"/>
      <c r="UP148" s="23"/>
      <c r="UQ148" s="23"/>
      <c r="UR148" s="23"/>
      <c r="US148" s="23"/>
      <c r="UT148" s="23"/>
      <c r="UU148" s="23"/>
      <c r="UV148" s="23"/>
      <c r="UW148" s="23"/>
      <c r="UX148" s="23"/>
      <c r="UY148" s="23"/>
      <c r="UZ148" s="23"/>
      <c r="VA148" s="23"/>
      <c r="VB148" s="23"/>
      <c r="VC148" s="23"/>
      <c r="VD148" s="23"/>
      <c r="VE148" s="23"/>
      <c r="VF148" s="23"/>
      <c r="VG148" s="23"/>
      <c r="VH148" s="23"/>
      <c r="VI148" s="23"/>
      <c r="VJ148" s="23"/>
      <c r="VK148" s="23"/>
      <c r="VL148" s="23"/>
      <c r="VM148" s="23"/>
      <c r="VN148" s="23"/>
      <c r="VO148" s="23"/>
      <c r="VP148" s="23"/>
      <c r="VQ148" s="23"/>
      <c r="VR148" s="23"/>
      <c r="VS148" s="23"/>
      <c r="VT148" s="23"/>
    </row>
    <row r="149" spans="1:592" s="13" customFormat="1" x14ac:dyDescent="0.2">
      <c r="A149" s="10" t="s">
        <v>157</v>
      </c>
      <c r="B149" s="11">
        <v>63125137</v>
      </c>
      <c r="C149" s="11" t="s">
        <v>288</v>
      </c>
      <c r="D149" s="11">
        <v>3775974</v>
      </c>
      <c r="E149" s="228" t="s">
        <v>331</v>
      </c>
      <c r="F149" s="192" t="s">
        <v>294</v>
      </c>
      <c r="G149" s="201">
        <f>IFERROR(VLOOKUP(D149,List1!$A$5:$B$227,2,FALSE),"0")</f>
        <v>856000</v>
      </c>
      <c r="H149" s="41" t="str">
        <f>IFERROR(VLOOKUP(D149,List1!$D$5:$E$41,2,FALSE),"0")</f>
        <v>0</v>
      </c>
      <c r="I149" s="41">
        <f>IFERROR(VLOOKUP(D149,List1!$G$5:$H$227,2,FALSE),"0")</f>
        <v>192280</v>
      </c>
      <c r="J149" s="40">
        <f t="shared" si="18"/>
        <v>1048280</v>
      </c>
      <c r="K149" s="41">
        <f>IFERROR(VLOOKUP(D149,List1!$J$5:$K$227,2,FALSE),"0")</f>
        <v>43000</v>
      </c>
      <c r="L149" s="41">
        <f>IFERROR(VLOOKUP(D149,List1!$M$5:$N$112,2,FALSE),"0")</f>
        <v>18000</v>
      </c>
      <c r="M149" s="43">
        <v>0</v>
      </c>
      <c r="N149" s="80">
        <f>VLOOKUP($D$5:$D$251,List2!$A$2:$B$241,2,FALSE)</f>
        <v>87272</v>
      </c>
      <c r="O149" s="80">
        <f>IFERROR(VLOOKUP($D$5:$D$260,List1!$Y$5:$Z$244,2,FALSE),0)</f>
        <v>0</v>
      </c>
      <c r="P149" s="202">
        <f>IFERROR(VLOOKUP($D$5:$D$260,List1!$AB$5:$AC$244,2,FALSE),0)</f>
        <v>0</v>
      </c>
      <c r="Q149" s="201">
        <f>IFERROR(VLOOKUP($D$5:$D$260,List1!$S$5:$T$231,2,FALSE),0)</f>
        <v>884824</v>
      </c>
      <c r="R149" s="41">
        <v>0</v>
      </c>
      <c r="S149" s="41">
        <f>IFERROR(VLOOKUP($D$5:$D$260,List1!$AE$5:$AF$231,2,FALSE),0)</f>
        <v>250000</v>
      </c>
      <c r="T149" s="41">
        <f t="shared" si="19"/>
        <v>1134824</v>
      </c>
      <c r="U149" s="41">
        <f>IFERROR(VLOOKUP(D149,List1!$P$5:$Q$110,2,FALSE),"0")</f>
        <v>116000</v>
      </c>
      <c r="V149" s="41">
        <v>0</v>
      </c>
      <c r="W149" s="248">
        <v>0</v>
      </c>
      <c r="X149" s="211">
        <f t="shared" si="20"/>
        <v>1250824</v>
      </c>
      <c r="Y149" s="219"/>
      <c r="Z149" s="80">
        <f>IFERROR(VLOOKUP($D$5:$D$260,#REF!,3,FALSE),0)</f>
        <v>0</v>
      </c>
      <c r="AA149" s="80">
        <f>IFERROR(VLOOKUP($D$5:$D$260,#REF!,3,FALSE),0)</f>
        <v>0</v>
      </c>
      <c r="AB149" s="243">
        <v>0</v>
      </c>
      <c r="AC149" s="202">
        <f t="shared" si="21"/>
        <v>0</v>
      </c>
      <c r="AD149" s="259">
        <f t="shared" si="22"/>
        <v>-116000</v>
      </c>
      <c r="AE149" s="260">
        <f t="shared" si="23"/>
        <v>-1</v>
      </c>
      <c r="AF149" s="260">
        <f t="shared" si="24"/>
        <v>-1</v>
      </c>
      <c r="AG149" s="260">
        <f t="shared" si="25"/>
        <v>-1</v>
      </c>
    </row>
    <row r="150" spans="1:592" s="13" customFormat="1" x14ac:dyDescent="0.2">
      <c r="A150" s="10" t="s">
        <v>157</v>
      </c>
      <c r="B150" s="11">
        <v>63125137</v>
      </c>
      <c r="C150" s="11" t="s">
        <v>288</v>
      </c>
      <c r="D150" s="11">
        <v>8306216</v>
      </c>
      <c r="E150" s="228" t="s">
        <v>331</v>
      </c>
      <c r="F150" s="192" t="s">
        <v>294</v>
      </c>
      <c r="G150" s="201">
        <f>IFERROR(VLOOKUP(D150,List1!$A$5:$B$227,2,FALSE),"0")</f>
        <v>4049000</v>
      </c>
      <c r="H150" s="41" t="str">
        <f>IFERROR(VLOOKUP(D150,List1!$D$5:$E$41,2,FALSE),"0")</f>
        <v>0</v>
      </c>
      <c r="I150" s="41">
        <f>IFERROR(VLOOKUP(D150,List1!$G$5:$H$227,2,FALSE),"0")</f>
        <v>321000</v>
      </c>
      <c r="J150" s="40">
        <f t="shared" si="18"/>
        <v>4370000</v>
      </c>
      <c r="K150" s="41">
        <f>IFERROR(VLOOKUP(D150,List1!$J$5:$K$227,2,FALSE),"0")</f>
        <v>192000</v>
      </c>
      <c r="L150" s="41">
        <f>IFERROR(VLOOKUP(D150,List1!$M$5:$N$112,2,FALSE),"0")</f>
        <v>90000</v>
      </c>
      <c r="M150" s="43">
        <v>0</v>
      </c>
      <c r="N150" s="80">
        <f>VLOOKUP($D$5:$D$251,List2!$A$2:$B$241,2,FALSE)</f>
        <v>1150228</v>
      </c>
      <c r="O150" s="80">
        <f>IFERROR(VLOOKUP($D$5:$D$260,List1!$Y$5:$Z$244,2,FALSE),0)</f>
        <v>0</v>
      </c>
      <c r="P150" s="202">
        <f>IFERROR(VLOOKUP($D$5:$D$260,List1!$AB$5:$AC$244,2,FALSE),0)</f>
        <v>598000</v>
      </c>
      <c r="Q150" s="201">
        <f>IFERROR(VLOOKUP($D$5:$D$260,List1!$S$5:$T$231,2,FALSE),0)</f>
        <v>3663626</v>
      </c>
      <c r="R150" s="41">
        <v>0</v>
      </c>
      <c r="S150" s="41">
        <f>IFERROR(VLOOKUP($D$5:$D$260,List1!$AE$5:$AF$231,2,FALSE),0)</f>
        <v>1100000</v>
      </c>
      <c r="T150" s="41">
        <f t="shared" si="19"/>
        <v>4763626</v>
      </c>
      <c r="U150" s="41">
        <f>IFERROR(VLOOKUP(D150,List1!$P$5:$Q$110,2,FALSE),"0")</f>
        <v>490000</v>
      </c>
      <c r="V150" s="41">
        <v>0</v>
      </c>
      <c r="W150" s="248">
        <v>650000</v>
      </c>
      <c r="X150" s="211">
        <f t="shared" si="20"/>
        <v>5903626</v>
      </c>
      <c r="Y150" s="219"/>
      <c r="Z150" s="80">
        <f>IFERROR(VLOOKUP($D$5:$D$260,#REF!,3,FALSE),0)</f>
        <v>0</v>
      </c>
      <c r="AA150" s="80">
        <f>IFERROR(VLOOKUP($D$5:$D$260,#REF!,3,FALSE),0)</f>
        <v>0</v>
      </c>
      <c r="AB150" s="243">
        <v>750000</v>
      </c>
      <c r="AC150" s="202">
        <f t="shared" si="21"/>
        <v>750000</v>
      </c>
      <c r="AD150" s="259">
        <f t="shared" si="22"/>
        <v>-490000</v>
      </c>
      <c r="AE150" s="260">
        <f t="shared" si="23"/>
        <v>-1</v>
      </c>
      <c r="AF150" s="260">
        <f t="shared" si="24"/>
        <v>-1</v>
      </c>
      <c r="AG150" s="260">
        <f t="shared" si="25"/>
        <v>-1</v>
      </c>
    </row>
    <row r="151" spans="1:592" s="24" customFormat="1" ht="21" x14ac:dyDescent="0.2">
      <c r="A151" s="10" t="s">
        <v>18</v>
      </c>
      <c r="B151" s="15" t="s">
        <v>408</v>
      </c>
      <c r="C151" s="11" t="s">
        <v>288</v>
      </c>
      <c r="D151" s="11">
        <v>5918012</v>
      </c>
      <c r="E151" s="228" t="s">
        <v>364</v>
      </c>
      <c r="F151" s="192" t="s">
        <v>278</v>
      </c>
      <c r="G151" s="201">
        <f>IFERROR(VLOOKUP(D151,List1!$A$5:$B$227,2,FALSE),"0")</f>
        <v>2294000</v>
      </c>
      <c r="H151" s="41" t="str">
        <f>IFERROR(VLOOKUP(D151,List1!$D$5:$E$41,2,FALSE),"0")</f>
        <v>0</v>
      </c>
      <c r="I151" s="41">
        <f>IFERROR(VLOOKUP(D151,List1!$G$5:$H$227,2,FALSE),"0")</f>
        <v>320000</v>
      </c>
      <c r="J151" s="40">
        <f t="shared" si="18"/>
        <v>2614000</v>
      </c>
      <c r="K151" s="41">
        <f>IFERROR(VLOOKUP(D151,List1!$J$5:$K$227,2,FALSE),"0")</f>
        <v>97000</v>
      </c>
      <c r="L151" s="41">
        <f>IFERROR(VLOOKUP(D151,List1!$M$5:$N$112,2,FALSE),"0")</f>
        <v>41000</v>
      </c>
      <c r="M151" s="43">
        <v>0</v>
      </c>
      <c r="N151" s="80">
        <f>VLOOKUP($D$5:$D$251,List2!$A$2:$B$241,2,FALSE)</f>
        <v>530000</v>
      </c>
      <c r="O151" s="80">
        <f>IFERROR(VLOOKUP($D$5:$D$260,List1!$Y$5:$Z$244,2,FALSE),0)</f>
        <v>0</v>
      </c>
      <c r="P151" s="202">
        <f>IFERROR(VLOOKUP($D$5:$D$260,List1!$AB$5:$AC$244,2,FALSE),0)</f>
        <v>0</v>
      </c>
      <c r="Q151" s="201">
        <f>IFERROR(VLOOKUP($D$5:$D$260,List1!$S$5:$T$231,2,FALSE),0)</f>
        <v>1884628</v>
      </c>
      <c r="R151" s="41">
        <v>0</v>
      </c>
      <c r="S151" s="41">
        <f>IFERROR(VLOOKUP($D$5:$D$260,List1!$AE$5:$AF$231,2,FALSE),0)</f>
        <v>300000</v>
      </c>
      <c r="T151" s="41">
        <f t="shared" si="19"/>
        <v>2184628</v>
      </c>
      <c r="U151" s="41">
        <f>IFERROR(VLOOKUP(D151,List1!$P$5:$Q$110,2,FALSE),"0")</f>
        <v>264000</v>
      </c>
      <c r="V151" s="41">
        <v>0</v>
      </c>
      <c r="W151" s="248">
        <v>0</v>
      </c>
      <c r="X151" s="211">
        <f t="shared" si="20"/>
        <v>2448628</v>
      </c>
      <c r="Y151" s="219"/>
      <c r="Z151" s="80">
        <f>IFERROR(VLOOKUP($D$5:$D$260,#REF!,3,FALSE),0)</f>
        <v>0</v>
      </c>
      <c r="AA151" s="80">
        <f>IFERROR(VLOOKUP($D$5:$D$260,#REF!,3,FALSE),0)</f>
        <v>0</v>
      </c>
      <c r="AB151" s="243">
        <v>0</v>
      </c>
      <c r="AC151" s="202">
        <f t="shared" si="21"/>
        <v>0</v>
      </c>
      <c r="AD151" s="259">
        <f t="shared" si="22"/>
        <v>-264000</v>
      </c>
      <c r="AE151" s="260">
        <f t="shared" si="23"/>
        <v>-1</v>
      </c>
      <c r="AF151" s="260">
        <f t="shared" si="24"/>
        <v>-1</v>
      </c>
      <c r="AG151" s="260">
        <f t="shared" si="25"/>
        <v>-1</v>
      </c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  <c r="HW151" s="23"/>
      <c r="HX151" s="23"/>
      <c r="HY151" s="23"/>
      <c r="HZ151" s="23"/>
      <c r="IA151" s="23"/>
      <c r="IB151" s="23"/>
      <c r="IC151" s="23"/>
      <c r="ID151" s="23"/>
      <c r="IE151" s="23"/>
      <c r="IF151" s="23"/>
      <c r="IG151" s="23"/>
      <c r="IH151" s="23"/>
      <c r="II151" s="23"/>
      <c r="IJ151" s="23"/>
      <c r="IK151" s="23"/>
      <c r="IL151" s="23"/>
      <c r="IM151" s="23"/>
      <c r="IN151" s="23"/>
      <c r="IO151" s="23"/>
      <c r="IP151" s="23"/>
      <c r="IQ151" s="23"/>
      <c r="IR151" s="23"/>
      <c r="IS151" s="23"/>
      <c r="IT151" s="23"/>
      <c r="IU151" s="23"/>
      <c r="IV151" s="23"/>
      <c r="IW151" s="23"/>
      <c r="IX151" s="23"/>
      <c r="IY151" s="23"/>
      <c r="IZ151" s="23"/>
      <c r="JA151" s="23"/>
      <c r="JB151" s="23"/>
      <c r="JC151" s="23"/>
      <c r="JD151" s="23"/>
      <c r="JE151" s="23"/>
      <c r="JF151" s="23"/>
      <c r="JG151" s="23"/>
      <c r="JH151" s="23"/>
      <c r="JI151" s="23"/>
      <c r="JJ151" s="23"/>
      <c r="JK151" s="23"/>
      <c r="JL151" s="23"/>
      <c r="JM151" s="23"/>
      <c r="JN151" s="23"/>
      <c r="JO151" s="23"/>
      <c r="JP151" s="23"/>
      <c r="JQ151" s="23"/>
      <c r="JR151" s="23"/>
      <c r="JS151" s="23"/>
      <c r="JT151" s="23"/>
      <c r="JU151" s="23"/>
      <c r="JV151" s="23"/>
      <c r="JW151" s="23"/>
      <c r="JX151" s="23"/>
      <c r="JY151" s="23"/>
      <c r="JZ151" s="23"/>
      <c r="KA151" s="23"/>
      <c r="KB151" s="23"/>
      <c r="KC151" s="23"/>
      <c r="KD151" s="23"/>
      <c r="KE151" s="23"/>
      <c r="KF151" s="23"/>
      <c r="KG151" s="23"/>
      <c r="KH151" s="23"/>
      <c r="KI151" s="23"/>
      <c r="KJ151" s="23"/>
      <c r="KK151" s="23"/>
      <c r="KL151" s="23"/>
      <c r="KM151" s="23"/>
      <c r="KN151" s="23"/>
      <c r="KO151" s="23"/>
      <c r="KP151" s="23"/>
      <c r="KQ151" s="23"/>
      <c r="KR151" s="23"/>
      <c r="KS151" s="23"/>
      <c r="KT151" s="23"/>
      <c r="KU151" s="23"/>
      <c r="KV151" s="23"/>
      <c r="KW151" s="23"/>
      <c r="KX151" s="23"/>
      <c r="KY151" s="23"/>
      <c r="KZ151" s="23"/>
      <c r="LA151" s="23"/>
      <c r="LB151" s="23"/>
      <c r="LC151" s="23"/>
      <c r="LD151" s="23"/>
      <c r="LE151" s="23"/>
      <c r="LF151" s="23"/>
      <c r="LG151" s="23"/>
      <c r="LH151" s="23"/>
      <c r="LI151" s="23"/>
      <c r="LJ151" s="23"/>
      <c r="LK151" s="23"/>
      <c r="LL151" s="23"/>
      <c r="LM151" s="23"/>
      <c r="LN151" s="23"/>
      <c r="LO151" s="23"/>
      <c r="LP151" s="23"/>
      <c r="LQ151" s="23"/>
      <c r="LR151" s="23"/>
      <c r="LS151" s="23"/>
      <c r="LT151" s="23"/>
      <c r="LU151" s="23"/>
      <c r="LV151" s="23"/>
      <c r="LW151" s="23"/>
      <c r="LX151" s="23"/>
      <c r="LY151" s="23"/>
      <c r="LZ151" s="23"/>
      <c r="MA151" s="23"/>
      <c r="MB151" s="23"/>
      <c r="MC151" s="23"/>
      <c r="MD151" s="23"/>
      <c r="ME151" s="23"/>
      <c r="MF151" s="23"/>
      <c r="MG151" s="23"/>
      <c r="MH151" s="23"/>
      <c r="MI151" s="23"/>
      <c r="MJ151" s="23"/>
      <c r="MK151" s="23"/>
      <c r="ML151" s="23"/>
      <c r="MM151" s="23"/>
      <c r="MN151" s="23"/>
      <c r="MO151" s="23"/>
      <c r="MP151" s="23"/>
      <c r="MQ151" s="23"/>
      <c r="MR151" s="23"/>
      <c r="MS151" s="23"/>
      <c r="MT151" s="23"/>
      <c r="MU151" s="23"/>
      <c r="MV151" s="23"/>
      <c r="MW151" s="23"/>
      <c r="MX151" s="23"/>
      <c r="MY151" s="23"/>
      <c r="MZ151" s="23"/>
      <c r="NA151" s="23"/>
      <c r="NB151" s="23"/>
      <c r="NC151" s="23"/>
      <c r="ND151" s="23"/>
      <c r="NE151" s="23"/>
      <c r="NF151" s="23"/>
      <c r="NG151" s="23"/>
      <c r="NH151" s="23"/>
      <c r="NI151" s="23"/>
      <c r="NJ151" s="23"/>
      <c r="NK151" s="23"/>
      <c r="NL151" s="23"/>
      <c r="NM151" s="23"/>
      <c r="NN151" s="23"/>
      <c r="NO151" s="23"/>
      <c r="NP151" s="23"/>
      <c r="NQ151" s="23"/>
      <c r="NR151" s="23"/>
      <c r="NS151" s="23"/>
      <c r="NT151" s="23"/>
      <c r="NU151" s="23"/>
      <c r="NV151" s="23"/>
      <c r="NW151" s="23"/>
      <c r="NX151" s="23"/>
      <c r="NY151" s="23"/>
      <c r="NZ151" s="23"/>
      <c r="OA151" s="23"/>
      <c r="OB151" s="23"/>
      <c r="OC151" s="23"/>
      <c r="OD151" s="23"/>
      <c r="OE151" s="23"/>
      <c r="OF151" s="23"/>
      <c r="OG151" s="23"/>
      <c r="OH151" s="23"/>
      <c r="OI151" s="23"/>
      <c r="OJ151" s="23"/>
      <c r="OK151" s="23"/>
      <c r="OL151" s="23"/>
      <c r="OM151" s="23"/>
      <c r="ON151" s="23"/>
      <c r="OO151" s="23"/>
      <c r="OP151" s="23"/>
      <c r="OQ151" s="23"/>
      <c r="OR151" s="23"/>
      <c r="OS151" s="23"/>
      <c r="OT151" s="23"/>
      <c r="OU151" s="23"/>
      <c r="OV151" s="23"/>
      <c r="OW151" s="23"/>
      <c r="OX151" s="23"/>
      <c r="OY151" s="23"/>
      <c r="OZ151" s="23"/>
      <c r="PA151" s="23"/>
      <c r="PB151" s="23"/>
      <c r="PC151" s="23"/>
      <c r="PD151" s="23"/>
      <c r="PE151" s="23"/>
      <c r="PF151" s="23"/>
      <c r="PG151" s="23"/>
      <c r="PH151" s="23"/>
      <c r="PI151" s="23"/>
      <c r="PJ151" s="23"/>
      <c r="PK151" s="23"/>
      <c r="PL151" s="23"/>
      <c r="PM151" s="23"/>
      <c r="PN151" s="23"/>
      <c r="PO151" s="23"/>
      <c r="PP151" s="23"/>
      <c r="PQ151" s="23"/>
      <c r="PR151" s="23"/>
      <c r="PS151" s="23"/>
      <c r="PT151" s="23"/>
      <c r="PU151" s="23"/>
      <c r="PV151" s="23"/>
      <c r="PW151" s="23"/>
      <c r="PX151" s="23"/>
      <c r="PY151" s="23"/>
      <c r="PZ151" s="23"/>
      <c r="QA151" s="23"/>
      <c r="QB151" s="23"/>
      <c r="QC151" s="23"/>
      <c r="QD151" s="23"/>
      <c r="QE151" s="23"/>
      <c r="QF151" s="23"/>
      <c r="QG151" s="23"/>
      <c r="QH151" s="23"/>
      <c r="QI151" s="23"/>
      <c r="QJ151" s="23"/>
      <c r="QK151" s="23"/>
      <c r="QL151" s="23"/>
      <c r="QM151" s="23"/>
      <c r="QN151" s="23"/>
      <c r="QO151" s="23"/>
      <c r="QP151" s="23"/>
      <c r="QQ151" s="23"/>
      <c r="QR151" s="23"/>
      <c r="QS151" s="23"/>
      <c r="QT151" s="23"/>
      <c r="QU151" s="23"/>
      <c r="QV151" s="23"/>
      <c r="QW151" s="23"/>
      <c r="QX151" s="23"/>
      <c r="QY151" s="23"/>
      <c r="QZ151" s="23"/>
      <c r="RA151" s="23"/>
      <c r="RB151" s="23"/>
      <c r="RC151" s="23"/>
      <c r="RD151" s="23"/>
      <c r="RE151" s="23"/>
      <c r="RF151" s="23"/>
      <c r="RG151" s="23"/>
      <c r="RH151" s="23"/>
      <c r="RI151" s="23"/>
      <c r="RJ151" s="23"/>
      <c r="RK151" s="23"/>
      <c r="RL151" s="23"/>
      <c r="RM151" s="23"/>
      <c r="RN151" s="23"/>
      <c r="RO151" s="23"/>
      <c r="RP151" s="23"/>
      <c r="RQ151" s="23"/>
      <c r="RR151" s="23"/>
      <c r="RS151" s="23"/>
      <c r="RT151" s="23"/>
      <c r="RU151" s="23"/>
      <c r="RV151" s="23"/>
      <c r="RW151" s="23"/>
      <c r="RX151" s="23"/>
      <c r="RY151" s="23"/>
      <c r="RZ151" s="23"/>
      <c r="SA151" s="23"/>
      <c r="SB151" s="23"/>
      <c r="SC151" s="23"/>
      <c r="SD151" s="23"/>
      <c r="SE151" s="23"/>
      <c r="SF151" s="23"/>
      <c r="SG151" s="23"/>
      <c r="SH151" s="23"/>
      <c r="SI151" s="23"/>
      <c r="SJ151" s="23"/>
      <c r="SK151" s="23"/>
      <c r="SL151" s="23"/>
      <c r="SM151" s="23"/>
      <c r="SN151" s="23"/>
      <c r="SO151" s="23"/>
      <c r="SP151" s="23"/>
      <c r="SQ151" s="23"/>
      <c r="SR151" s="23"/>
      <c r="SS151" s="23"/>
      <c r="ST151" s="23"/>
      <c r="SU151" s="23"/>
      <c r="SV151" s="23"/>
      <c r="SW151" s="23"/>
      <c r="SX151" s="23"/>
      <c r="SY151" s="23"/>
      <c r="SZ151" s="23"/>
      <c r="TA151" s="23"/>
      <c r="TB151" s="23"/>
      <c r="TC151" s="23"/>
      <c r="TD151" s="23"/>
      <c r="TE151" s="23"/>
      <c r="TF151" s="23"/>
      <c r="TG151" s="23"/>
      <c r="TH151" s="23"/>
      <c r="TI151" s="23"/>
      <c r="TJ151" s="23"/>
      <c r="TK151" s="23"/>
      <c r="TL151" s="23"/>
      <c r="TM151" s="23"/>
      <c r="TN151" s="23"/>
      <c r="TO151" s="23"/>
      <c r="TP151" s="23"/>
      <c r="TQ151" s="23"/>
      <c r="TR151" s="23"/>
      <c r="TS151" s="23"/>
      <c r="TT151" s="23"/>
      <c r="TU151" s="23"/>
      <c r="TV151" s="23"/>
      <c r="TW151" s="23"/>
      <c r="TX151" s="23"/>
      <c r="TY151" s="23"/>
      <c r="TZ151" s="23"/>
      <c r="UA151" s="23"/>
      <c r="UB151" s="23"/>
      <c r="UC151" s="23"/>
      <c r="UD151" s="23"/>
      <c r="UE151" s="23"/>
      <c r="UF151" s="23"/>
      <c r="UG151" s="23"/>
      <c r="UH151" s="23"/>
      <c r="UI151" s="23"/>
      <c r="UJ151" s="23"/>
      <c r="UK151" s="23"/>
      <c r="UL151" s="23"/>
      <c r="UM151" s="23"/>
      <c r="UN151" s="23"/>
      <c r="UO151" s="23"/>
      <c r="UP151" s="23"/>
      <c r="UQ151" s="23"/>
      <c r="UR151" s="23"/>
      <c r="US151" s="23"/>
      <c r="UT151" s="23"/>
      <c r="UU151" s="23"/>
      <c r="UV151" s="23"/>
      <c r="UW151" s="23"/>
      <c r="UX151" s="23"/>
      <c r="UY151" s="23"/>
      <c r="UZ151" s="23"/>
      <c r="VA151" s="23"/>
      <c r="VB151" s="23"/>
      <c r="VC151" s="23"/>
      <c r="VD151" s="23"/>
      <c r="VE151" s="23"/>
      <c r="VF151" s="23"/>
      <c r="VG151" s="23"/>
      <c r="VH151" s="23"/>
      <c r="VI151" s="23"/>
      <c r="VJ151" s="23"/>
      <c r="VK151" s="23"/>
      <c r="VL151" s="23"/>
      <c r="VM151" s="23"/>
      <c r="VN151" s="23"/>
      <c r="VO151" s="23"/>
      <c r="VP151" s="23"/>
      <c r="VQ151" s="23"/>
      <c r="VR151" s="23"/>
      <c r="VS151" s="23"/>
      <c r="VT151" s="23"/>
    </row>
    <row r="152" spans="1:592" s="13" customFormat="1" ht="21" x14ac:dyDescent="0.2">
      <c r="A152" s="10" t="s">
        <v>18</v>
      </c>
      <c r="B152" s="15" t="s">
        <v>408</v>
      </c>
      <c r="C152" s="11" t="s">
        <v>288</v>
      </c>
      <c r="D152" s="11">
        <v>1020591</v>
      </c>
      <c r="E152" s="228" t="s">
        <v>409</v>
      </c>
      <c r="F152" s="192" t="s">
        <v>269</v>
      </c>
      <c r="G152" s="201">
        <f>IFERROR(VLOOKUP(D152,List1!$A$5:$B$227,2,FALSE),"0")</f>
        <v>1492000</v>
      </c>
      <c r="H152" s="41" t="str">
        <f>IFERROR(VLOOKUP(D152,List1!$D$5:$E$41,2,FALSE),"0")</f>
        <v>0</v>
      </c>
      <c r="I152" s="41">
        <f>IFERROR(VLOOKUP(D152,List1!$G$5:$H$227,2,FALSE),"0")</f>
        <v>79500</v>
      </c>
      <c r="J152" s="40">
        <f t="shared" si="18"/>
        <v>1571500</v>
      </c>
      <c r="K152" s="41">
        <f>IFERROR(VLOOKUP(D152,List1!$J$5:$K$227,2,FALSE),"0")</f>
        <v>57000</v>
      </c>
      <c r="L152" s="41">
        <f>IFERROR(VLOOKUP(D152,List1!$M$5:$N$112,2,FALSE),"0")</f>
        <v>24000</v>
      </c>
      <c r="M152" s="43">
        <v>0</v>
      </c>
      <c r="N152" s="80">
        <f>VLOOKUP($D$5:$D$251,List2!$A$2:$B$241,2,FALSE)</f>
        <v>400000</v>
      </c>
      <c r="O152" s="80">
        <f>IFERROR(VLOOKUP($D$5:$D$260,List1!$Y$5:$Z$244,2,FALSE),0)</f>
        <v>0</v>
      </c>
      <c r="P152" s="202">
        <f>IFERROR(VLOOKUP($D$5:$D$260,List1!$AB$5:$AC$244,2,FALSE),0)</f>
        <v>0</v>
      </c>
      <c r="Q152" s="201">
        <f>IFERROR(VLOOKUP($D$5:$D$260,List1!$S$5:$T$231,2,FALSE),0)</f>
        <v>1245666</v>
      </c>
      <c r="R152" s="41">
        <v>0</v>
      </c>
      <c r="S152" s="41">
        <f>IFERROR(VLOOKUP($D$5:$D$260,List1!$AE$5:$AF$231,2,FALSE),0)</f>
        <v>350000</v>
      </c>
      <c r="T152" s="41">
        <f t="shared" si="19"/>
        <v>1595666</v>
      </c>
      <c r="U152" s="41">
        <f>IFERROR(VLOOKUP(D152,List1!$P$5:$Q$110,2,FALSE),"0")</f>
        <v>154000</v>
      </c>
      <c r="V152" s="41">
        <v>0</v>
      </c>
      <c r="W152" s="248">
        <v>0</v>
      </c>
      <c r="X152" s="211">
        <f t="shared" si="20"/>
        <v>1749666</v>
      </c>
      <c r="Y152" s="219"/>
      <c r="Z152" s="80">
        <f>IFERROR(VLOOKUP($D$5:$D$260,#REF!,3,FALSE),0)</f>
        <v>0</v>
      </c>
      <c r="AA152" s="80">
        <f>IFERROR(VLOOKUP($D$5:$D$260,#REF!,3,FALSE),0)</f>
        <v>0</v>
      </c>
      <c r="AB152" s="243">
        <v>0</v>
      </c>
      <c r="AC152" s="202">
        <f t="shared" si="21"/>
        <v>0</v>
      </c>
      <c r="AD152" s="259">
        <f t="shared" si="22"/>
        <v>-154000</v>
      </c>
      <c r="AE152" s="260">
        <f t="shared" si="23"/>
        <v>-1</v>
      </c>
      <c r="AF152" s="260">
        <f t="shared" si="24"/>
        <v>-1</v>
      </c>
      <c r="AG152" s="260">
        <f t="shared" si="25"/>
        <v>-1</v>
      </c>
    </row>
    <row r="153" spans="1:592" s="20" customFormat="1" ht="21" x14ac:dyDescent="0.2">
      <c r="A153" s="10" t="s">
        <v>18</v>
      </c>
      <c r="B153" s="15" t="s">
        <v>408</v>
      </c>
      <c r="C153" s="11" t="s">
        <v>288</v>
      </c>
      <c r="D153" s="11">
        <v>2481915</v>
      </c>
      <c r="E153" s="228" t="s">
        <v>409</v>
      </c>
      <c r="F153" s="192" t="s">
        <v>269</v>
      </c>
      <c r="G153" s="201">
        <f>IFERROR(VLOOKUP(D153,List1!$A$5:$B$227,2,FALSE),"0")</f>
        <v>1984000</v>
      </c>
      <c r="H153" s="41" t="str">
        <f>IFERROR(VLOOKUP(D153,List1!$D$5:$E$41,2,FALSE),"0")</f>
        <v>0</v>
      </c>
      <c r="I153" s="41">
        <f>IFERROR(VLOOKUP(D153,List1!$G$5:$H$227,2,FALSE),"0")</f>
        <v>105000</v>
      </c>
      <c r="J153" s="40">
        <f t="shared" si="18"/>
        <v>2089000</v>
      </c>
      <c r="K153" s="41">
        <f>IFERROR(VLOOKUP(D153,List1!$J$5:$K$227,2,FALSE),"0")</f>
        <v>75000</v>
      </c>
      <c r="L153" s="41">
        <f>IFERROR(VLOOKUP(D153,List1!$M$5:$N$112,2,FALSE),"0")</f>
        <v>31000</v>
      </c>
      <c r="M153" s="43">
        <v>0</v>
      </c>
      <c r="N153" s="80">
        <f>VLOOKUP($D$5:$D$251,List2!$A$2:$B$241,2,FALSE)</f>
        <v>160545</v>
      </c>
      <c r="O153" s="80">
        <f>IFERROR(VLOOKUP($D$5:$D$260,List1!$Y$5:$Z$244,2,FALSE),0)</f>
        <v>0</v>
      </c>
      <c r="P153" s="202">
        <f>IFERROR(VLOOKUP($D$5:$D$260,List1!$AB$5:$AC$244,2,FALSE),0)</f>
        <v>0</v>
      </c>
      <c r="Q153" s="201">
        <f>IFERROR(VLOOKUP($D$5:$D$260,List1!$S$5:$T$231,2,FALSE),0)</f>
        <v>1645219</v>
      </c>
      <c r="R153" s="41">
        <v>0</v>
      </c>
      <c r="S153" s="41">
        <f>IFERROR(VLOOKUP($D$5:$D$260,List1!$AE$5:$AF$231,2,FALSE),0)</f>
        <v>450000</v>
      </c>
      <c r="T153" s="41">
        <f t="shared" si="19"/>
        <v>2095219</v>
      </c>
      <c r="U153" s="41">
        <f>IFERROR(VLOOKUP(D153,List1!$P$5:$Q$110,2,FALSE),"0")</f>
        <v>203000</v>
      </c>
      <c r="V153" s="41">
        <v>0</v>
      </c>
      <c r="W153" s="248">
        <v>0</v>
      </c>
      <c r="X153" s="211">
        <f t="shared" si="20"/>
        <v>2298219</v>
      </c>
      <c r="Y153" s="219"/>
      <c r="Z153" s="80">
        <f>IFERROR(VLOOKUP($D$5:$D$260,#REF!,3,FALSE),0)</f>
        <v>0</v>
      </c>
      <c r="AA153" s="80">
        <f>IFERROR(VLOOKUP($D$5:$D$260,#REF!,3,FALSE),0)</f>
        <v>0</v>
      </c>
      <c r="AB153" s="243">
        <v>0</v>
      </c>
      <c r="AC153" s="202">
        <f t="shared" si="21"/>
        <v>0</v>
      </c>
      <c r="AD153" s="259">
        <f t="shared" si="22"/>
        <v>-203000</v>
      </c>
      <c r="AE153" s="260">
        <f t="shared" si="23"/>
        <v>-1</v>
      </c>
      <c r="AF153" s="260">
        <f t="shared" si="24"/>
        <v>-1</v>
      </c>
      <c r="AG153" s="260">
        <f t="shared" si="25"/>
        <v>-1</v>
      </c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  <c r="IT153" s="13"/>
      <c r="IU153" s="13"/>
      <c r="IV153" s="13"/>
      <c r="IW153" s="13"/>
      <c r="IX153" s="13"/>
      <c r="IY153" s="13"/>
      <c r="IZ153" s="13"/>
      <c r="JA153" s="13"/>
      <c r="JB153" s="13"/>
      <c r="JC153" s="13"/>
      <c r="JD153" s="13"/>
      <c r="JE153" s="13"/>
      <c r="JF153" s="13"/>
      <c r="JG153" s="13"/>
      <c r="JH153" s="13"/>
      <c r="JI153" s="13"/>
      <c r="JJ153" s="13"/>
      <c r="JK153" s="13"/>
      <c r="JL153" s="13"/>
      <c r="JM153" s="13"/>
      <c r="JN153" s="13"/>
      <c r="JO153" s="13"/>
      <c r="JP153" s="13"/>
      <c r="JQ153" s="13"/>
      <c r="JR153" s="13"/>
      <c r="JS153" s="13"/>
      <c r="JT153" s="13"/>
      <c r="JU153" s="13"/>
      <c r="JV153" s="13"/>
      <c r="JW153" s="13"/>
      <c r="JX153" s="13"/>
      <c r="JY153" s="13"/>
      <c r="JZ153" s="13"/>
      <c r="KA153" s="13"/>
      <c r="KB153" s="13"/>
      <c r="KC153" s="13"/>
      <c r="KD153" s="13"/>
      <c r="KE153" s="13"/>
      <c r="KF153" s="13"/>
      <c r="KG153" s="13"/>
      <c r="KH153" s="13"/>
      <c r="KI153" s="13"/>
      <c r="KJ153" s="13"/>
      <c r="KK153" s="13"/>
      <c r="KL153" s="13"/>
      <c r="KM153" s="13"/>
      <c r="KN153" s="13"/>
      <c r="KO153" s="13"/>
      <c r="KP153" s="13"/>
      <c r="KQ153" s="13"/>
      <c r="KR153" s="13"/>
      <c r="KS153" s="13"/>
      <c r="KT153" s="13"/>
      <c r="KU153" s="13"/>
      <c r="KV153" s="13"/>
      <c r="KW153" s="13"/>
      <c r="KX153" s="13"/>
      <c r="KY153" s="13"/>
      <c r="KZ153" s="13"/>
      <c r="LA153" s="13"/>
      <c r="LB153" s="13"/>
      <c r="LC153" s="13"/>
      <c r="LD153" s="13"/>
      <c r="LE153" s="13"/>
      <c r="LF153" s="13"/>
      <c r="LG153" s="13"/>
      <c r="LH153" s="13"/>
      <c r="LI153" s="13"/>
      <c r="LJ153" s="13"/>
      <c r="LK153" s="13"/>
      <c r="LL153" s="13"/>
      <c r="LM153" s="13"/>
      <c r="LN153" s="13"/>
      <c r="LO153" s="13"/>
      <c r="LP153" s="13"/>
      <c r="LQ153" s="13"/>
      <c r="LR153" s="13"/>
      <c r="LS153" s="13"/>
      <c r="LT153" s="13"/>
      <c r="LU153" s="13"/>
      <c r="LV153" s="13"/>
      <c r="LW153" s="13"/>
      <c r="LX153" s="13"/>
      <c r="LY153" s="13"/>
      <c r="LZ153" s="13"/>
      <c r="MA153" s="13"/>
      <c r="MB153" s="13"/>
      <c r="MC153" s="13"/>
      <c r="MD153" s="13"/>
      <c r="ME153" s="13"/>
      <c r="MF153" s="13"/>
      <c r="MG153" s="13"/>
      <c r="MH153" s="13"/>
      <c r="MI153" s="13"/>
      <c r="MJ153" s="13"/>
      <c r="MK153" s="13"/>
      <c r="ML153" s="13"/>
      <c r="MM153" s="13"/>
      <c r="MN153" s="13"/>
      <c r="MO153" s="13"/>
      <c r="MP153" s="13"/>
      <c r="MQ153" s="13"/>
      <c r="MR153" s="13"/>
      <c r="MS153" s="13"/>
      <c r="MT153" s="13"/>
      <c r="MU153" s="13"/>
      <c r="MV153" s="13"/>
      <c r="MW153" s="13"/>
      <c r="MX153" s="13"/>
      <c r="MY153" s="13"/>
      <c r="MZ153" s="13"/>
      <c r="NA153" s="13"/>
      <c r="NB153" s="13"/>
      <c r="NC153" s="13"/>
      <c r="ND153" s="13"/>
      <c r="NE153" s="13"/>
      <c r="NF153" s="13"/>
      <c r="NG153" s="13"/>
      <c r="NH153" s="13"/>
      <c r="NI153" s="13"/>
      <c r="NJ153" s="13"/>
      <c r="NK153" s="13"/>
      <c r="NL153" s="13"/>
      <c r="NM153" s="13"/>
      <c r="NN153" s="13"/>
      <c r="NO153" s="13"/>
      <c r="NP153" s="13"/>
      <c r="NQ153" s="13"/>
      <c r="NR153" s="13"/>
      <c r="NS153" s="13"/>
      <c r="NT153" s="13"/>
      <c r="NU153" s="13"/>
      <c r="NV153" s="13"/>
      <c r="NW153" s="13"/>
      <c r="NX153" s="13"/>
      <c r="NY153" s="13"/>
      <c r="NZ153" s="13"/>
      <c r="OA153" s="13"/>
      <c r="OB153" s="13"/>
      <c r="OC153" s="13"/>
      <c r="OD153" s="13"/>
      <c r="OE153" s="13"/>
      <c r="OF153" s="13"/>
      <c r="OG153" s="13"/>
      <c r="OH153" s="13"/>
      <c r="OI153" s="13"/>
      <c r="OJ153" s="13"/>
      <c r="OK153" s="13"/>
      <c r="OL153" s="13"/>
      <c r="OM153" s="13"/>
      <c r="ON153" s="13"/>
      <c r="OO153" s="13"/>
      <c r="OP153" s="13"/>
      <c r="OQ153" s="13"/>
      <c r="OR153" s="13"/>
      <c r="OS153" s="13"/>
      <c r="OT153" s="13"/>
      <c r="OU153" s="13"/>
      <c r="OV153" s="13"/>
      <c r="OW153" s="13"/>
      <c r="OX153" s="13"/>
      <c r="OY153" s="13"/>
      <c r="OZ153" s="13"/>
      <c r="PA153" s="13"/>
      <c r="PB153" s="13"/>
      <c r="PC153" s="13"/>
      <c r="PD153" s="13"/>
      <c r="PE153" s="13"/>
      <c r="PF153" s="13"/>
      <c r="PG153" s="13"/>
      <c r="PH153" s="13"/>
      <c r="PI153" s="13"/>
      <c r="PJ153" s="13"/>
      <c r="PK153" s="13"/>
      <c r="PL153" s="13"/>
      <c r="PM153" s="13"/>
      <c r="PN153" s="13"/>
      <c r="PO153" s="13"/>
      <c r="PP153" s="13"/>
      <c r="PQ153" s="13"/>
      <c r="PR153" s="13"/>
      <c r="PS153" s="13"/>
      <c r="PT153" s="13"/>
      <c r="PU153" s="13"/>
      <c r="PV153" s="13"/>
      <c r="PW153" s="13"/>
      <c r="PX153" s="13"/>
      <c r="PY153" s="13"/>
      <c r="PZ153" s="13"/>
      <c r="QA153" s="13"/>
      <c r="QB153" s="13"/>
      <c r="QC153" s="13"/>
      <c r="QD153" s="13"/>
      <c r="QE153" s="13"/>
      <c r="QF153" s="13"/>
      <c r="QG153" s="13"/>
      <c r="QH153" s="13"/>
      <c r="QI153" s="13"/>
      <c r="QJ153" s="13"/>
      <c r="QK153" s="13"/>
      <c r="QL153" s="13"/>
      <c r="QM153" s="13"/>
      <c r="QN153" s="13"/>
      <c r="QO153" s="13"/>
      <c r="QP153" s="13"/>
      <c r="QQ153" s="13"/>
      <c r="QR153" s="13"/>
      <c r="QS153" s="13"/>
      <c r="QT153" s="13"/>
      <c r="QU153" s="13"/>
      <c r="QV153" s="13"/>
      <c r="QW153" s="13"/>
      <c r="QX153" s="13"/>
      <c r="QY153" s="13"/>
      <c r="QZ153" s="13"/>
      <c r="RA153" s="13"/>
      <c r="RB153" s="13"/>
      <c r="RC153" s="13"/>
      <c r="RD153" s="13"/>
      <c r="RE153" s="13"/>
      <c r="RF153" s="13"/>
      <c r="RG153" s="13"/>
      <c r="RH153" s="13"/>
      <c r="RI153" s="13"/>
      <c r="RJ153" s="13"/>
      <c r="RK153" s="13"/>
      <c r="RL153" s="13"/>
      <c r="RM153" s="13"/>
      <c r="RN153" s="13"/>
      <c r="RO153" s="13"/>
      <c r="RP153" s="13"/>
      <c r="RQ153" s="13"/>
      <c r="RR153" s="13"/>
      <c r="RS153" s="13"/>
      <c r="RT153" s="13"/>
      <c r="RU153" s="13"/>
      <c r="RV153" s="13"/>
      <c r="RW153" s="13"/>
      <c r="RX153" s="13"/>
      <c r="RY153" s="13"/>
      <c r="RZ153" s="13"/>
      <c r="SA153" s="13"/>
      <c r="SB153" s="13"/>
      <c r="SC153" s="13"/>
      <c r="SD153" s="13"/>
      <c r="SE153" s="13"/>
      <c r="SF153" s="13"/>
      <c r="SG153" s="13"/>
      <c r="SH153" s="13"/>
      <c r="SI153" s="13"/>
      <c r="SJ153" s="13"/>
      <c r="SK153" s="13"/>
      <c r="SL153" s="13"/>
      <c r="SM153" s="13"/>
      <c r="SN153" s="13"/>
      <c r="SO153" s="13"/>
      <c r="SP153" s="13"/>
      <c r="SQ153" s="13"/>
      <c r="SR153" s="13"/>
      <c r="SS153" s="13"/>
      <c r="ST153" s="13"/>
      <c r="SU153" s="13"/>
      <c r="SV153" s="13"/>
      <c r="SW153" s="13"/>
      <c r="SX153" s="13"/>
      <c r="SY153" s="13"/>
      <c r="SZ153" s="13"/>
      <c r="TA153" s="13"/>
      <c r="TB153" s="13"/>
      <c r="TC153" s="13"/>
      <c r="TD153" s="13"/>
      <c r="TE153" s="13"/>
      <c r="TF153" s="13"/>
      <c r="TG153" s="13"/>
      <c r="TH153" s="13"/>
      <c r="TI153" s="13"/>
      <c r="TJ153" s="13"/>
      <c r="TK153" s="13"/>
      <c r="TL153" s="13"/>
      <c r="TM153" s="13"/>
      <c r="TN153" s="13"/>
      <c r="TO153" s="13"/>
      <c r="TP153" s="13"/>
      <c r="TQ153" s="13"/>
      <c r="TR153" s="13"/>
      <c r="TS153" s="13"/>
      <c r="TT153" s="13"/>
      <c r="TU153" s="13"/>
      <c r="TV153" s="13"/>
      <c r="TW153" s="13"/>
      <c r="TX153" s="13"/>
      <c r="TY153" s="13"/>
      <c r="TZ153" s="13"/>
      <c r="UA153" s="13"/>
      <c r="UB153" s="13"/>
      <c r="UC153" s="13"/>
      <c r="UD153" s="13"/>
      <c r="UE153" s="13"/>
      <c r="UF153" s="13"/>
      <c r="UG153" s="13"/>
      <c r="UH153" s="13"/>
      <c r="UI153" s="13"/>
      <c r="UJ153" s="13"/>
      <c r="UK153" s="13"/>
      <c r="UL153" s="13"/>
      <c r="UM153" s="13"/>
      <c r="UN153" s="13"/>
      <c r="UO153" s="13"/>
      <c r="UP153" s="13"/>
      <c r="UQ153" s="13"/>
      <c r="UR153" s="13"/>
      <c r="US153" s="13"/>
      <c r="UT153" s="13"/>
      <c r="UU153" s="13"/>
      <c r="UV153" s="13"/>
      <c r="UW153" s="13"/>
      <c r="UX153" s="13"/>
      <c r="UY153" s="13"/>
      <c r="UZ153" s="13"/>
      <c r="VA153" s="13"/>
      <c r="VB153" s="13"/>
      <c r="VC153" s="13"/>
      <c r="VD153" s="13"/>
      <c r="VE153" s="13"/>
      <c r="VF153" s="13"/>
      <c r="VG153" s="13"/>
      <c r="VH153" s="13"/>
      <c r="VI153" s="13"/>
      <c r="VJ153" s="13"/>
      <c r="VK153" s="13"/>
      <c r="VL153" s="13"/>
      <c r="VM153" s="13"/>
      <c r="VN153" s="13"/>
      <c r="VO153" s="13"/>
      <c r="VP153" s="13"/>
      <c r="VQ153" s="13"/>
      <c r="VR153" s="13"/>
      <c r="VS153" s="13"/>
      <c r="VT153" s="13"/>
    </row>
    <row r="154" spans="1:592" s="13" customFormat="1" ht="21" x14ac:dyDescent="0.2">
      <c r="A154" s="10" t="s">
        <v>18</v>
      </c>
      <c r="B154" s="15" t="s">
        <v>408</v>
      </c>
      <c r="C154" s="11" t="s">
        <v>288</v>
      </c>
      <c r="D154" s="11">
        <v>3822869</v>
      </c>
      <c r="E154" s="228" t="s">
        <v>410</v>
      </c>
      <c r="F154" s="192" t="s">
        <v>269</v>
      </c>
      <c r="G154" s="201">
        <f>IFERROR(VLOOKUP(D154,List1!$A$5:$B$227,2,FALSE),"0")</f>
        <v>1161000</v>
      </c>
      <c r="H154" s="41" t="str">
        <f>IFERROR(VLOOKUP(D154,List1!$D$5:$E$41,2,FALSE),"0")</f>
        <v>0</v>
      </c>
      <c r="I154" s="41">
        <f>IFERROR(VLOOKUP(D154,List1!$G$5:$H$227,2,FALSE),"0")</f>
        <v>50000</v>
      </c>
      <c r="J154" s="40">
        <f t="shared" si="18"/>
        <v>1211000</v>
      </c>
      <c r="K154" s="41">
        <f>IFERROR(VLOOKUP(D154,List1!$J$5:$K$227,2,FALSE),"0")</f>
        <v>46000</v>
      </c>
      <c r="L154" s="41">
        <f>IFERROR(VLOOKUP(D154,List1!$M$5:$N$112,2,FALSE),"0")</f>
        <v>19000</v>
      </c>
      <c r="M154" s="43">
        <v>0</v>
      </c>
      <c r="N154" s="80">
        <f>VLOOKUP($D$5:$D$251,List2!$A$2:$B$241,2,FALSE)</f>
        <v>78059</v>
      </c>
      <c r="O154" s="80">
        <f>IFERROR(VLOOKUP($D$5:$D$260,List1!$Y$5:$Z$244,2,FALSE),0)</f>
        <v>0</v>
      </c>
      <c r="P154" s="202">
        <f>IFERROR(VLOOKUP($D$5:$D$260,List1!$AB$5:$AC$244,2,FALSE),0)</f>
        <v>0</v>
      </c>
      <c r="Q154" s="201">
        <f>IFERROR(VLOOKUP($D$5:$D$260,List1!$S$5:$T$231,2,FALSE),0)</f>
        <v>942429</v>
      </c>
      <c r="R154" s="41">
        <v>0</v>
      </c>
      <c r="S154" s="41">
        <f>IFERROR(VLOOKUP($D$5:$D$260,List1!$AE$5:$AF$231,2,FALSE),0)</f>
        <v>40000</v>
      </c>
      <c r="T154" s="41">
        <f t="shared" si="19"/>
        <v>982429</v>
      </c>
      <c r="U154" s="41">
        <f>IFERROR(VLOOKUP(D154,List1!$P$5:$Q$110,2,FALSE),"0")</f>
        <v>154000</v>
      </c>
      <c r="V154" s="41">
        <v>0</v>
      </c>
      <c r="W154" s="248">
        <v>0</v>
      </c>
      <c r="X154" s="211">
        <f t="shared" si="20"/>
        <v>1136429</v>
      </c>
      <c r="Y154" s="219"/>
      <c r="Z154" s="80">
        <f>IFERROR(VLOOKUP($D$5:$D$260,#REF!,3,FALSE),0)</f>
        <v>0</v>
      </c>
      <c r="AA154" s="80">
        <f>IFERROR(VLOOKUP($D$5:$D$260,#REF!,3,FALSE),0)</f>
        <v>0</v>
      </c>
      <c r="AB154" s="243">
        <v>0</v>
      </c>
      <c r="AC154" s="202">
        <f t="shared" si="21"/>
        <v>0</v>
      </c>
      <c r="AD154" s="259">
        <f t="shared" si="22"/>
        <v>-154000</v>
      </c>
      <c r="AE154" s="260">
        <f t="shared" si="23"/>
        <v>-1</v>
      </c>
      <c r="AF154" s="260">
        <f t="shared" si="24"/>
        <v>-1</v>
      </c>
      <c r="AG154" s="260">
        <f t="shared" si="25"/>
        <v>-1</v>
      </c>
    </row>
    <row r="155" spans="1:592" s="13" customFormat="1" ht="21" x14ac:dyDescent="0.2">
      <c r="A155" s="10" t="s">
        <v>18</v>
      </c>
      <c r="B155" s="15" t="s">
        <v>408</v>
      </c>
      <c r="C155" s="11" t="s">
        <v>288</v>
      </c>
      <c r="D155" s="11">
        <v>1303151</v>
      </c>
      <c r="E155" s="228" t="s">
        <v>410</v>
      </c>
      <c r="F155" s="192" t="s">
        <v>269</v>
      </c>
      <c r="G155" s="201">
        <f>IFERROR(VLOOKUP(D155,List1!$A$5:$B$227,2,FALSE),"0")</f>
        <v>1346000</v>
      </c>
      <c r="H155" s="41" t="str">
        <f>IFERROR(VLOOKUP(D155,List1!$D$5:$E$41,2,FALSE),"0")</f>
        <v>0</v>
      </c>
      <c r="I155" s="41">
        <f>IFERROR(VLOOKUP(D155,List1!$G$5:$H$227,2,FALSE),"0")</f>
        <v>180000</v>
      </c>
      <c r="J155" s="40">
        <f t="shared" si="18"/>
        <v>1526000</v>
      </c>
      <c r="K155" s="41">
        <f>IFERROR(VLOOKUP(D155,List1!$J$5:$K$227,2,FALSE),"0")</f>
        <v>48000</v>
      </c>
      <c r="L155" s="41">
        <f>IFERROR(VLOOKUP(D155,List1!$M$5:$N$112,2,FALSE),"0")</f>
        <v>20000</v>
      </c>
      <c r="M155" s="43">
        <v>0</v>
      </c>
      <c r="N155" s="80">
        <f>VLOOKUP($D$5:$D$251,List2!$A$2:$B$241,2,FALSE)</f>
        <v>265000</v>
      </c>
      <c r="O155" s="80">
        <f>IFERROR(VLOOKUP($D$5:$D$260,List1!$Y$5:$Z$244,2,FALSE),0)</f>
        <v>0</v>
      </c>
      <c r="P155" s="202">
        <f>IFERROR(VLOOKUP($D$5:$D$260,List1!$AB$5:$AC$244,2,FALSE),0)</f>
        <v>0</v>
      </c>
      <c r="Q155" s="201">
        <f>IFERROR(VLOOKUP($D$5:$D$260,List1!$S$5:$T$231,2,FALSE),0)</f>
        <v>1148274</v>
      </c>
      <c r="R155" s="41">
        <v>0</v>
      </c>
      <c r="S155" s="41">
        <f>IFERROR(VLOOKUP($D$5:$D$260,List1!$AE$5:$AF$231,2,FALSE),0)</f>
        <v>50000</v>
      </c>
      <c r="T155" s="41">
        <f t="shared" si="19"/>
        <v>1198274</v>
      </c>
      <c r="U155" s="41">
        <f>IFERROR(VLOOKUP(D155,List1!$P$5:$Q$110,2,FALSE),"0")</f>
        <v>131000</v>
      </c>
      <c r="V155" s="41">
        <v>0</v>
      </c>
      <c r="W155" s="248">
        <v>0</v>
      </c>
      <c r="X155" s="211">
        <f t="shared" si="20"/>
        <v>1329274</v>
      </c>
      <c r="Y155" s="219"/>
      <c r="Z155" s="80">
        <f>IFERROR(VLOOKUP($D$5:$D$260,#REF!,3,FALSE),0)</f>
        <v>0</v>
      </c>
      <c r="AA155" s="80">
        <f>IFERROR(VLOOKUP($D$5:$D$260,#REF!,3,FALSE),0)</f>
        <v>0</v>
      </c>
      <c r="AB155" s="243">
        <v>0</v>
      </c>
      <c r="AC155" s="202">
        <f t="shared" si="21"/>
        <v>0</v>
      </c>
      <c r="AD155" s="259">
        <f t="shared" si="22"/>
        <v>-131000</v>
      </c>
      <c r="AE155" s="260">
        <f t="shared" si="23"/>
        <v>-1</v>
      </c>
      <c r="AF155" s="260">
        <f t="shared" si="24"/>
        <v>-1</v>
      </c>
      <c r="AG155" s="260">
        <f t="shared" si="25"/>
        <v>-1</v>
      </c>
    </row>
    <row r="156" spans="1:592" s="20" customFormat="1" ht="21" x14ac:dyDescent="0.2">
      <c r="A156" s="10" t="s">
        <v>18</v>
      </c>
      <c r="B156" s="15" t="s">
        <v>408</v>
      </c>
      <c r="C156" s="11" t="s">
        <v>288</v>
      </c>
      <c r="D156" s="11">
        <v>1775589</v>
      </c>
      <c r="E156" s="228" t="s">
        <v>331</v>
      </c>
      <c r="F156" s="192" t="s">
        <v>294</v>
      </c>
      <c r="G156" s="201">
        <f>IFERROR(VLOOKUP(D156,List1!$A$5:$B$227,2,FALSE),"0")</f>
        <v>2283000</v>
      </c>
      <c r="H156" s="41" t="str">
        <f>IFERROR(VLOOKUP(D156,List1!$D$5:$E$41,2,FALSE),"0")</f>
        <v>0</v>
      </c>
      <c r="I156" s="41">
        <f>IFERROR(VLOOKUP(D156,List1!$G$5:$H$227,2,FALSE),"0")</f>
        <v>20000</v>
      </c>
      <c r="J156" s="40">
        <f t="shared" si="18"/>
        <v>2303000</v>
      </c>
      <c r="K156" s="41">
        <f>IFERROR(VLOOKUP(D156,List1!$J$5:$K$227,2,FALSE),"0")</f>
        <v>130000</v>
      </c>
      <c r="L156" s="41" t="str">
        <f>IFERROR(VLOOKUP(D156,List1!$M$5:$N$112,2,FALSE),"0")</f>
        <v>0</v>
      </c>
      <c r="M156" s="43">
        <v>0</v>
      </c>
      <c r="N156" s="80">
        <f>VLOOKUP($D$5:$D$251,List2!$A$2:$B$241,2,FALSE)</f>
        <v>1462000</v>
      </c>
      <c r="O156" s="80">
        <f>IFERROR(VLOOKUP($D$5:$D$260,List1!$Y$5:$Z$244,2,FALSE),0)</f>
        <v>0</v>
      </c>
      <c r="P156" s="202">
        <f>IFERROR(VLOOKUP($D$5:$D$260,List1!$AB$5:$AC$244,2,FALSE),0)</f>
        <v>0</v>
      </c>
      <c r="Q156" s="201">
        <f>IFERROR(VLOOKUP($D$5:$D$260,List1!$S$5:$T$231,2,FALSE),0)</f>
        <v>1854904</v>
      </c>
      <c r="R156" s="41">
        <v>0</v>
      </c>
      <c r="S156" s="41">
        <f>IFERROR(VLOOKUP($D$5:$D$260,List1!$AE$5:$AF$231,2,FALSE),0)</f>
        <v>550000</v>
      </c>
      <c r="T156" s="41">
        <f t="shared" si="19"/>
        <v>2404904</v>
      </c>
      <c r="U156" s="41">
        <f>IFERROR(VLOOKUP(D156,List1!$P$5:$Q$110,2,FALSE),"0")</f>
        <v>354000</v>
      </c>
      <c r="V156" s="41">
        <v>0</v>
      </c>
      <c r="W156" s="248">
        <v>0</v>
      </c>
      <c r="X156" s="211">
        <f t="shared" si="20"/>
        <v>2758904</v>
      </c>
      <c r="Y156" s="219"/>
      <c r="Z156" s="80">
        <f>IFERROR(VLOOKUP($D$5:$D$260,#REF!,3,FALSE),0)</f>
        <v>0</v>
      </c>
      <c r="AA156" s="80">
        <f>IFERROR(VLOOKUP($D$5:$D$260,#REF!,3,FALSE),0)</f>
        <v>0</v>
      </c>
      <c r="AB156" s="243">
        <v>0</v>
      </c>
      <c r="AC156" s="202">
        <f t="shared" si="21"/>
        <v>0</v>
      </c>
      <c r="AD156" s="259">
        <f t="shared" si="22"/>
        <v>-354000</v>
      </c>
      <c r="AE156" s="260">
        <f t="shared" si="23"/>
        <v>-1</v>
      </c>
      <c r="AF156" s="260">
        <f t="shared" si="24"/>
        <v>-1</v>
      </c>
      <c r="AG156" s="260">
        <f t="shared" si="25"/>
        <v>-1</v>
      </c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  <c r="IT156" s="13"/>
      <c r="IU156" s="13"/>
      <c r="IV156" s="13"/>
      <c r="IW156" s="13"/>
      <c r="IX156" s="13"/>
      <c r="IY156" s="13"/>
      <c r="IZ156" s="13"/>
      <c r="JA156" s="13"/>
      <c r="JB156" s="13"/>
      <c r="JC156" s="13"/>
      <c r="JD156" s="13"/>
      <c r="JE156" s="13"/>
      <c r="JF156" s="13"/>
      <c r="JG156" s="13"/>
      <c r="JH156" s="13"/>
      <c r="JI156" s="13"/>
      <c r="JJ156" s="13"/>
      <c r="JK156" s="13"/>
      <c r="JL156" s="13"/>
      <c r="JM156" s="13"/>
      <c r="JN156" s="13"/>
      <c r="JO156" s="13"/>
      <c r="JP156" s="13"/>
      <c r="JQ156" s="13"/>
      <c r="JR156" s="13"/>
      <c r="JS156" s="13"/>
      <c r="JT156" s="13"/>
      <c r="JU156" s="13"/>
      <c r="JV156" s="13"/>
      <c r="JW156" s="13"/>
      <c r="JX156" s="13"/>
      <c r="JY156" s="13"/>
      <c r="JZ156" s="13"/>
      <c r="KA156" s="13"/>
      <c r="KB156" s="13"/>
      <c r="KC156" s="13"/>
      <c r="KD156" s="13"/>
      <c r="KE156" s="13"/>
      <c r="KF156" s="13"/>
      <c r="KG156" s="13"/>
      <c r="KH156" s="13"/>
      <c r="KI156" s="13"/>
      <c r="KJ156" s="13"/>
      <c r="KK156" s="13"/>
      <c r="KL156" s="13"/>
      <c r="KM156" s="13"/>
      <c r="KN156" s="13"/>
      <c r="KO156" s="13"/>
      <c r="KP156" s="13"/>
      <c r="KQ156" s="13"/>
      <c r="KR156" s="13"/>
      <c r="KS156" s="13"/>
      <c r="KT156" s="13"/>
      <c r="KU156" s="13"/>
      <c r="KV156" s="13"/>
      <c r="KW156" s="13"/>
      <c r="KX156" s="13"/>
      <c r="KY156" s="13"/>
      <c r="KZ156" s="13"/>
      <c r="LA156" s="13"/>
      <c r="LB156" s="13"/>
      <c r="LC156" s="13"/>
      <c r="LD156" s="13"/>
      <c r="LE156" s="13"/>
      <c r="LF156" s="13"/>
      <c r="LG156" s="13"/>
      <c r="LH156" s="13"/>
      <c r="LI156" s="13"/>
      <c r="LJ156" s="13"/>
      <c r="LK156" s="13"/>
      <c r="LL156" s="13"/>
      <c r="LM156" s="13"/>
      <c r="LN156" s="13"/>
      <c r="LO156" s="13"/>
      <c r="LP156" s="13"/>
      <c r="LQ156" s="13"/>
      <c r="LR156" s="13"/>
      <c r="LS156" s="13"/>
      <c r="LT156" s="13"/>
      <c r="LU156" s="13"/>
      <c r="LV156" s="13"/>
      <c r="LW156" s="13"/>
      <c r="LX156" s="13"/>
      <c r="LY156" s="13"/>
      <c r="LZ156" s="13"/>
      <c r="MA156" s="13"/>
      <c r="MB156" s="13"/>
      <c r="MC156" s="13"/>
      <c r="MD156" s="13"/>
      <c r="ME156" s="13"/>
      <c r="MF156" s="13"/>
      <c r="MG156" s="13"/>
      <c r="MH156" s="13"/>
      <c r="MI156" s="13"/>
      <c r="MJ156" s="13"/>
      <c r="MK156" s="13"/>
      <c r="ML156" s="13"/>
      <c r="MM156" s="13"/>
      <c r="MN156" s="13"/>
      <c r="MO156" s="13"/>
      <c r="MP156" s="13"/>
      <c r="MQ156" s="13"/>
      <c r="MR156" s="13"/>
      <c r="MS156" s="13"/>
      <c r="MT156" s="13"/>
      <c r="MU156" s="13"/>
      <c r="MV156" s="13"/>
      <c r="MW156" s="13"/>
      <c r="MX156" s="13"/>
      <c r="MY156" s="13"/>
      <c r="MZ156" s="13"/>
      <c r="NA156" s="13"/>
      <c r="NB156" s="13"/>
      <c r="NC156" s="13"/>
      <c r="ND156" s="13"/>
      <c r="NE156" s="13"/>
      <c r="NF156" s="13"/>
      <c r="NG156" s="13"/>
      <c r="NH156" s="13"/>
      <c r="NI156" s="13"/>
      <c r="NJ156" s="13"/>
      <c r="NK156" s="13"/>
      <c r="NL156" s="13"/>
      <c r="NM156" s="13"/>
      <c r="NN156" s="13"/>
      <c r="NO156" s="13"/>
      <c r="NP156" s="13"/>
      <c r="NQ156" s="13"/>
      <c r="NR156" s="13"/>
      <c r="NS156" s="13"/>
      <c r="NT156" s="13"/>
      <c r="NU156" s="13"/>
      <c r="NV156" s="13"/>
      <c r="NW156" s="13"/>
      <c r="NX156" s="13"/>
      <c r="NY156" s="13"/>
      <c r="NZ156" s="13"/>
      <c r="OA156" s="13"/>
      <c r="OB156" s="13"/>
      <c r="OC156" s="13"/>
      <c r="OD156" s="13"/>
      <c r="OE156" s="13"/>
      <c r="OF156" s="13"/>
      <c r="OG156" s="13"/>
      <c r="OH156" s="13"/>
      <c r="OI156" s="13"/>
      <c r="OJ156" s="13"/>
      <c r="OK156" s="13"/>
      <c r="OL156" s="13"/>
      <c r="OM156" s="13"/>
      <c r="ON156" s="13"/>
      <c r="OO156" s="13"/>
      <c r="OP156" s="13"/>
      <c r="OQ156" s="13"/>
      <c r="OR156" s="13"/>
      <c r="OS156" s="13"/>
      <c r="OT156" s="13"/>
      <c r="OU156" s="13"/>
      <c r="OV156" s="13"/>
      <c r="OW156" s="13"/>
      <c r="OX156" s="13"/>
      <c r="OY156" s="13"/>
      <c r="OZ156" s="13"/>
      <c r="PA156" s="13"/>
      <c r="PB156" s="13"/>
      <c r="PC156" s="13"/>
      <c r="PD156" s="13"/>
      <c r="PE156" s="13"/>
      <c r="PF156" s="13"/>
      <c r="PG156" s="13"/>
      <c r="PH156" s="13"/>
      <c r="PI156" s="13"/>
      <c r="PJ156" s="13"/>
      <c r="PK156" s="13"/>
      <c r="PL156" s="13"/>
      <c r="PM156" s="13"/>
      <c r="PN156" s="13"/>
      <c r="PO156" s="13"/>
      <c r="PP156" s="13"/>
      <c r="PQ156" s="13"/>
      <c r="PR156" s="13"/>
      <c r="PS156" s="13"/>
      <c r="PT156" s="13"/>
      <c r="PU156" s="13"/>
      <c r="PV156" s="13"/>
      <c r="PW156" s="13"/>
      <c r="PX156" s="13"/>
      <c r="PY156" s="13"/>
      <c r="PZ156" s="13"/>
      <c r="QA156" s="13"/>
      <c r="QB156" s="13"/>
      <c r="QC156" s="13"/>
      <c r="QD156" s="13"/>
      <c r="QE156" s="13"/>
      <c r="QF156" s="13"/>
      <c r="QG156" s="13"/>
      <c r="QH156" s="13"/>
      <c r="QI156" s="13"/>
      <c r="QJ156" s="13"/>
      <c r="QK156" s="13"/>
      <c r="QL156" s="13"/>
      <c r="QM156" s="13"/>
      <c r="QN156" s="13"/>
      <c r="QO156" s="13"/>
      <c r="QP156" s="13"/>
      <c r="QQ156" s="13"/>
      <c r="QR156" s="13"/>
      <c r="QS156" s="13"/>
      <c r="QT156" s="13"/>
      <c r="QU156" s="13"/>
      <c r="QV156" s="13"/>
      <c r="QW156" s="13"/>
      <c r="QX156" s="13"/>
      <c r="QY156" s="13"/>
      <c r="QZ156" s="13"/>
      <c r="RA156" s="13"/>
      <c r="RB156" s="13"/>
      <c r="RC156" s="13"/>
      <c r="RD156" s="13"/>
      <c r="RE156" s="13"/>
      <c r="RF156" s="13"/>
      <c r="RG156" s="13"/>
      <c r="RH156" s="13"/>
      <c r="RI156" s="13"/>
      <c r="RJ156" s="13"/>
      <c r="RK156" s="13"/>
      <c r="RL156" s="13"/>
      <c r="RM156" s="13"/>
      <c r="RN156" s="13"/>
      <c r="RO156" s="13"/>
      <c r="RP156" s="13"/>
      <c r="RQ156" s="13"/>
      <c r="RR156" s="13"/>
      <c r="RS156" s="13"/>
      <c r="RT156" s="13"/>
      <c r="RU156" s="13"/>
      <c r="RV156" s="13"/>
      <c r="RW156" s="13"/>
      <c r="RX156" s="13"/>
      <c r="RY156" s="13"/>
      <c r="RZ156" s="13"/>
      <c r="SA156" s="13"/>
      <c r="SB156" s="13"/>
      <c r="SC156" s="13"/>
      <c r="SD156" s="13"/>
      <c r="SE156" s="13"/>
      <c r="SF156" s="13"/>
      <c r="SG156" s="13"/>
      <c r="SH156" s="13"/>
      <c r="SI156" s="13"/>
      <c r="SJ156" s="13"/>
      <c r="SK156" s="13"/>
      <c r="SL156" s="13"/>
      <c r="SM156" s="13"/>
      <c r="SN156" s="13"/>
      <c r="SO156" s="13"/>
      <c r="SP156" s="13"/>
      <c r="SQ156" s="13"/>
      <c r="SR156" s="13"/>
      <c r="SS156" s="13"/>
      <c r="ST156" s="13"/>
      <c r="SU156" s="13"/>
      <c r="SV156" s="13"/>
      <c r="SW156" s="13"/>
      <c r="SX156" s="13"/>
      <c r="SY156" s="13"/>
      <c r="SZ156" s="13"/>
      <c r="TA156" s="13"/>
      <c r="TB156" s="13"/>
      <c r="TC156" s="13"/>
      <c r="TD156" s="13"/>
      <c r="TE156" s="13"/>
      <c r="TF156" s="13"/>
      <c r="TG156" s="13"/>
      <c r="TH156" s="13"/>
      <c r="TI156" s="13"/>
      <c r="TJ156" s="13"/>
      <c r="TK156" s="13"/>
      <c r="TL156" s="13"/>
      <c r="TM156" s="13"/>
      <c r="TN156" s="13"/>
      <c r="TO156" s="13"/>
      <c r="TP156" s="13"/>
      <c r="TQ156" s="13"/>
      <c r="TR156" s="13"/>
      <c r="TS156" s="13"/>
      <c r="TT156" s="13"/>
      <c r="TU156" s="13"/>
      <c r="TV156" s="13"/>
      <c r="TW156" s="13"/>
      <c r="TX156" s="13"/>
      <c r="TY156" s="13"/>
      <c r="TZ156" s="13"/>
      <c r="UA156" s="13"/>
      <c r="UB156" s="13"/>
      <c r="UC156" s="13"/>
      <c r="UD156" s="13"/>
      <c r="UE156" s="13"/>
      <c r="UF156" s="13"/>
      <c r="UG156" s="13"/>
      <c r="UH156" s="13"/>
      <c r="UI156" s="13"/>
      <c r="UJ156" s="13"/>
      <c r="UK156" s="13"/>
      <c r="UL156" s="13"/>
      <c r="UM156" s="13"/>
      <c r="UN156" s="13"/>
      <c r="UO156" s="13"/>
      <c r="UP156" s="13"/>
      <c r="UQ156" s="13"/>
      <c r="UR156" s="13"/>
      <c r="US156" s="13"/>
      <c r="UT156" s="13"/>
      <c r="UU156" s="13"/>
      <c r="UV156" s="13"/>
      <c r="UW156" s="13"/>
      <c r="UX156" s="13"/>
      <c r="UY156" s="13"/>
      <c r="UZ156" s="13"/>
      <c r="VA156" s="13"/>
      <c r="VB156" s="13"/>
      <c r="VC156" s="13"/>
      <c r="VD156" s="13"/>
      <c r="VE156" s="13"/>
      <c r="VF156" s="13"/>
      <c r="VG156" s="13"/>
      <c r="VH156" s="13"/>
      <c r="VI156" s="13"/>
      <c r="VJ156" s="13"/>
      <c r="VK156" s="13"/>
      <c r="VL156" s="13"/>
      <c r="VM156" s="13"/>
      <c r="VN156" s="13"/>
      <c r="VO156" s="13"/>
      <c r="VP156" s="13"/>
      <c r="VQ156" s="13"/>
      <c r="VR156" s="13"/>
      <c r="VS156" s="13"/>
      <c r="VT156" s="13"/>
    </row>
    <row r="157" spans="1:592" s="20" customFormat="1" ht="21" x14ac:dyDescent="0.2">
      <c r="A157" s="10" t="s">
        <v>18</v>
      </c>
      <c r="B157" s="15" t="s">
        <v>408</v>
      </c>
      <c r="C157" s="11" t="s">
        <v>288</v>
      </c>
      <c r="D157" s="11">
        <v>1420566</v>
      </c>
      <c r="E157" s="228" t="s">
        <v>331</v>
      </c>
      <c r="F157" s="192" t="s">
        <v>294</v>
      </c>
      <c r="G157" s="201">
        <f>IFERROR(VLOOKUP(D157,List1!$A$5:$B$227,2,FALSE),"0")</f>
        <v>1590000</v>
      </c>
      <c r="H157" s="41" t="str">
        <f>IFERROR(VLOOKUP(D157,List1!$D$5:$E$41,2,FALSE),"0")</f>
        <v>0</v>
      </c>
      <c r="I157" s="41">
        <f>IFERROR(VLOOKUP(D157,List1!$G$5:$H$227,2,FALSE),"0")</f>
        <v>90000</v>
      </c>
      <c r="J157" s="40">
        <f t="shared" si="18"/>
        <v>1680000</v>
      </c>
      <c r="K157" s="41">
        <f>IFERROR(VLOOKUP(D157,List1!$J$5:$K$227,2,FALSE),"0")</f>
        <v>64000</v>
      </c>
      <c r="L157" s="41" t="str">
        <f>IFERROR(VLOOKUP(D157,List1!$M$5:$N$112,2,FALSE),"0")</f>
        <v>0</v>
      </c>
      <c r="M157" s="43">
        <v>0</v>
      </c>
      <c r="N157" s="80">
        <f>VLOOKUP($D$5:$D$251,List2!$A$2:$B$241,2,FALSE)</f>
        <v>385000</v>
      </c>
      <c r="O157" s="80">
        <f>IFERROR(VLOOKUP($D$5:$D$260,List1!$Y$5:$Z$244,2,FALSE),0)</f>
        <v>0</v>
      </c>
      <c r="P157" s="202">
        <f>IFERROR(VLOOKUP($D$5:$D$260,List1!$AB$5:$AC$244,2,FALSE),0)</f>
        <v>0</v>
      </c>
      <c r="Q157" s="201">
        <f>IFERROR(VLOOKUP($D$5:$D$260,List1!$S$5:$T$231,2,FALSE),0)</f>
        <v>1410188</v>
      </c>
      <c r="R157" s="41">
        <v>0</v>
      </c>
      <c r="S157" s="41">
        <f>IFERROR(VLOOKUP($D$5:$D$260,List1!$AE$5:$AF$231,2,FALSE),0)</f>
        <v>400000</v>
      </c>
      <c r="T157" s="41">
        <f t="shared" si="19"/>
        <v>1810188</v>
      </c>
      <c r="U157" s="41">
        <f>IFERROR(VLOOKUP(D157,List1!$P$5:$Q$110,2,FALSE),"0")</f>
        <v>174000</v>
      </c>
      <c r="V157" s="41">
        <v>0</v>
      </c>
      <c r="W157" s="248">
        <v>0</v>
      </c>
      <c r="X157" s="211">
        <f t="shared" si="20"/>
        <v>1984188</v>
      </c>
      <c r="Y157" s="219"/>
      <c r="Z157" s="80">
        <f>IFERROR(VLOOKUP($D$5:$D$260,#REF!,3,FALSE),0)</f>
        <v>0</v>
      </c>
      <c r="AA157" s="80">
        <f>IFERROR(VLOOKUP($D$5:$D$260,#REF!,3,FALSE),0)</f>
        <v>0</v>
      </c>
      <c r="AB157" s="243">
        <v>0</v>
      </c>
      <c r="AC157" s="202">
        <f t="shared" si="21"/>
        <v>0</v>
      </c>
      <c r="AD157" s="259">
        <f t="shared" si="22"/>
        <v>-174000</v>
      </c>
      <c r="AE157" s="260">
        <f t="shared" si="23"/>
        <v>-1</v>
      </c>
      <c r="AF157" s="260">
        <f t="shared" si="24"/>
        <v>-1</v>
      </c>
      <c r="AG157" s="260">
        <f t="shared" si="25"/>
        <v>-1</v>
      </c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/>
      <c r="IH157" s="13"/>
      <c r="II157" s="13"/>
      <c r="IJ157" s="13"/>
      <c r="IK157" s="13"/>
      <c r="IL157" s="13"/>
      <c r="IM157" s="13"/>
      <c r="IN157" s="13"/>
      <c r="IO157" s="13"/>
      <c r="IP157" s="13"/>
      <c r="IQ157" s="13"/>
      <c r="IR157" s="13"/>
      <c r="IS157" s="13"/>
      <c r="IT157" s="13"/>
      <c r="IU157" s="13"/>
      <c r="IV157" s="13"/>
      <c r="IW157" s="13"/>
      <c r="IX157" s="13"/>
      <c r="IY157" s="13"/>
      <c r="IZ157" s="13"/>
      <c r="JA157" s="13"/>
      <c r="JB157" s="13"/>
      <c r="JC157" s="13"/>
      <c r="JD157" s="13"/>
      <c r="JE157" s="13"/>
      <c r="JF157" s="13"/>
      <c r="JG157" s="13"/>
      <c r="JH157" s="13"/>
      <c r="JI157" s="13"/>
      <c r="JJ157" s="13"/>
      <c r="JK157" s="13"/>
      <c r="JL157" s="13"/>
      <c r="JM157" s="13"/>
      <c r="JN157" s="13"/>
      <c r="JO157" s="13"/>
      <c r="JP157" s="13"/>
      <c r="JQ157" s="13"/>
      <c r="JR157" s="13"/>
      <c r="JS157" s="13"/>
      <c r="JT157" s="13"/>
      <c r="JU157" s="13"/>
      <c r="JV157" s="13"/>
      <c r="JW157" s="13"/>
      <c r="JX157" s="13"/>
      <c r="JY157" s="13"/>
      <c r="JZ157" s="13"/>
      <c r="KA157" s="13"/>
      <c r="KB157" s="13"/>
      <c r="KC157" s="13"/>
      <c r="KD157" s="13"/>
      <c r="KE157" s="13"/>
      <c r="KF157" s="13"/>
      <c r="KG157" s="13"/>
      <c r="KH157" s="13"/>
      <c r="KI157" s="13"/>
      <c r="KJ157" s="13"/>
      <c r="KK157" s="13"/>
      <c r="KL157" s="13"/>
      <c r="KM157" s="13"/>
      <c r="KN157" s="13"/>
      <c r="KO157" s="13"/>
      <c r="KP157" s="13"/>
      <c r="KQ157" s="13"/>
      <c r="KR157" s="13"/>
      <c r="KS157" s="13"/>
      <c r="KT157" s="13"/>
      <c r="KU157" s="13"/>
      <c r="KV157" s="13"/>
      <c r="KW157" s="13"/>
      <c r="KX157" s="13"/>
      <c r="KY157" s="13"/>
      <c r="KZ157" s="13"/>
      <c r="LA157" s="13"/>
      <c r="LB157" s="13"/>
      <c r="LC157" s="13"/>
      <c r="LD157" s="13"/>
      <c r="LE157" s="13"/>
      <c r="LF157" s="13"/>
      <c r="LG157" s="13"/>
      <c r="LH157" s="13"/>
      <c r="LI157" s="13"/>
      <c r="LJ157" s="13"/>
      <c r="LK157" s="13"/>
      <c r="LL157" s="13"/>
      <c r="LM157" s="13"/>
      <c r="LN157" s="13"/>
      <c r="LO157" s="13"/>
      <c r="LP157" s="13"/>
      <c r="LQ157" s="13"/>
      <c r="LR157" s="13"/>
      <c r="LS157" s="13"/>
      <c r="LT157" s="13"/>
      <c r="LU157" s="13"/>
      <c r="LV157" s="13"/>
      <c r="LW157" s="13"/>
      <c r="LX157" s="13"/>
      <c r="LY157" s="13"/>
      <c r="LZ157" s="13"/>
      <c r="MA157" s="13"/>
      <c r="MB157" s="13"/>
      <c r="MC157" s="13"/>
      <c r="MD157" s="13"/>
      <c r="ME157" s="13"/>
      <c r="MF157" s="13"/>
      <c r="MG157" s="13"/>
      <c r="MH157" s="13"/>
      <c r="MI157" s="13"/>
      <c r="MJ157" s="13"/>
      <c r="MK157" s="13"/>
      <c r="ML157" s="13"/>
      <c r="MM157" s="13"/>
      <c r="MN157" s="13"/>
      <c r="MO157" s="13"/>
      <c r="MP157" s="13"/>
      <c r="MQ157" s="13"/>
      <c r="MR157" s="13"/>
      <c r="MS157" s="13"/>
      <c r="MT157" s="13"/>
      <c r="MU157" s="13"/>
      <c r="MV157" s="13"/>
      <c r="MW157" s="13"/>
      <c r="MX157" s="13"/>
      <c r="MY157" s="13"/>
      <c r="MZ157" s="13"/>
      <c r="NA157" s="13"/>
      <c r="NB157" s="13"/>
      <c r="NC157" s="13"/>
      <c r="ND157" s="13"/>
      <c r="NE157" s="13"/>
      <c r="NF157" s="13"/>
      <c r="NG157" s="13"/>
      <c r="NH157" s="13"/>
      <c r="NI157" s="13"/>
      <c r="NJ157" s="13"/>
      <c r="NK157" s="13"/>
      <c r="NL157" s="13"/>
      <c r="NM157" s="13"/>
      <c r="NN157" s="13"/>
      <c r="NO157" s="13"/>
      <c r="NP157" s="13"/>
      <c r="NQ157" s="13"/>
      <c r="NR157" s="13"/>
      <c r="NS157" s="13"/>
      <c r="NT157" s="13"/>
      <c r="NU157" s="13"/>
      <c r="NV157" s="13"/>
      <c r="NW157" s="13"/>
      <c r="NX157" s="13"/>
      <c r="NY157" s="13"/>
      <c r="NZ157" s="13"/>
      <c r="OA157" s="13"/>
      <c r="OB157" s="13"/>
      <c r="OC157" s="13"/>
      <c r="OD157" s="13"/>
      <c r="OE157" s="13"/>
      <c r="OF157" s="13"/>
      <c r="OG157" s="13"/>
      <c r="OH157" s="13"/>
      <c r="OI157" s="13"/>
      <c r="OJ157" s="13"/>
      <c r="OK157" s="13"/>
      <c r="OL157" s="13"/>
      <c r="OM157" s="13"/>
      <c r="ON157" s="13"/>
      <c r="OO157" s="13"/>
      <c r="OP157" s="13"/>
      <c r="OQ157" s="13"/>
      <c r="OR157" s="13"/>
      <c r="OS157" s="13"/>
      <c r="OT157" s="13"/>
      <c r="OU157" s="13"/>
      <c r="OV157" s="13"/>
      <c r="OW157" s="13"/>
      <c r="OX157" s="13"/>
      <c r="OY157" s="13"/>
      <c r="OZ157" s="13"/>
      <c r="PA157" s="13"/>
      <c r="PB157" s="13"/>
      <c r="PC157" s="13"/>
      <c r="PD157" s="13"/>
      <c r="PE157" s="13"/>
      <c r="PF157" s="13"/>
      <c r="PG157" s="13"/>
      <c r="PH157" s="13"/>
      <c r="PI157" s="13"/>
      <c r="PJ157" s="13"/>
      <c r="PK157" s="13"/>
      <c r="PL157" s="13"/>
      <c r="PM157" s="13"/>
      <c r="PN157" s="13"/>
      <c r="PO157" s="13"/>
      <c r="PP157" s="13"/>
      <c r="PQ157" s="13"/>
      <c r="PR157" s="13"/>
      <c r="PS157" s="13"/>
      <c r="PT157" s="13"/>
      <c r="PU157" s="13"/>
      <c r="PV157" s="13"/>
      <c r="PW157" s="13"/>
      <c r="PX157" s="13"/>
      <c r="PY157" s="13"/>
      <c r="PZ157" s="13"/>
      <c r="QA157" s="13"/>
      <c r="QB157" s="13"/>
      <c r="QC157" s="13"/>
      <c r="QD157" s="13"/>
      <c r="QE157" s="13"/>
      <c r="QF157" s="13"/>
      <c r="QG157" s="13"/>
      <c r="QH157" s="13"/>
      <c r="QI157" s="13"/>
      <c r="QJ157" s="13"/>
      <c r="QK157" s="13"/>
      <c r="QL157" s="13"/>
      <c r="QM157" s="13"/>
      <c r="QN157" s="13"/>
      <c r="QO157" s="13"/>
      <c r="QP157" s="13"/>
      <c r="QQ157" s="13"/>
      <c r="QR157" s="13"/>
      <c r="QS157" s="13"/>
      <c r="QT157" s="13"/>
      <c r="QU157" s="13"/>
      <c r="QV157" s="13"/>
      <c r="QW157" s="13"/>
      <c r="QX157" s="13"/>
      <c r="QY157" s="13"/>
      <c r="QZ157" s="13"/>
      <c r="RA157" s="13"/>
      <c r="RB157" s="13"/>
      <c r="RC157" s="13"/>
      <c r="RD157" s="13"/>
      <c r="RE157" s="13"/>
      <c r="RF157" s="13"/>
      <c r="RG157" s="13"/>
      <c r="RH157" s="13"/>
      <c r="RI157" s="13"/>
      <c r="RJ157" s="13"/>
      <c r="RK157" s="13"/>
      <c r="RL157" s="13"/>
      <c r="RM157" s="13"/>
      <c r="RN157" s="13"/>
      <c r="RO157" s="13"/>
      <c r="RP157" s="13"/>
      <c r="RQ157" s="13"/>
      <c r="RR157" s="13"/>
      <c r="RS157" s="13"/>
      <c r="RT157" s="13"/>
      <c r="RU157" s="13"/>
      <c r="RV157" s="13"/>
      <c r="RW157" s="13"/>
      <c r="RX157" s="13"/>
      <c r="RY157" s="13"/>
      <c r="RZ157" s="13"/>
      <c r="SA157" s="13"/>
      <c r="SB157" s="13"/>
      <c r="SC157" s="13"/>
      <c r="SD157" s="13"/>
      <c r="SE157" s="13"/>
      <c r="SF157" s="13"/>
      <c r="SG157" s="13"/>
      <c r="SH157" s="13"/>
      <c r="SI157" s="13"/>
      <c r="SJ157" s="13"/>
      <c r="SK157" s="13"/>
      <c r="SL157" s="13"/>
      <c r="SM157" s="13"/>
      <c r="SN157" s="13"/>
      <c r="SO157" s="13"/>
      <c r="SP157" s="13"/>
      <c r="SQ157" s="13"/>
      <c r="SR157" s="13"/>
      <c r="SS157" s="13"/>
      <c r="ST157" s="13"/>
      <c r="SU157" s="13"/>
      <c r="SV157" s="13"/>
      <c r="SW157" s="13"/>
      <c r="SX157" s="13"/>
      <c r="SY157" s="13"/>
      <c r="SZ157" s="13"/>
      <c r="TA157" s="13"/>
      <c r="TB157" s="13"/>
      <c r="TC157" s="13"/>
      <c r="TD157" s="13"/>
      <c r="TE157" s="13"/>
      <c r="TF157" s="13"/>
      <c r="TG157" s="13"/>
      <c r="TH157" s="13"/>
      <c r="TI157" s="13"/>
      <c r="TJ157" s="13"/>
      <c r="TK157" s="13"/>
      <c r="TL157" s="13"/>
      <c r="TM157" s="13"/>
      <c r="TN157" s="13"/>
      <c r="TO157" s="13"/>
      <c r="TP157" s="13"/>
      <c r="TQ157" s="13"/>
      <c r="TR157" s="13"/>
      <c r="TS157" s="13"/>
      <c r="TT157" s="13"/>
      <c r="TU157" s="13"/>
      <c r="TV157" s="13"/>
      <c r="TW157" s="13"/>
      <c r="TX157" s="13"/>
      <c r="TY157" s="13"/>
      <c r="TZ157" s="13"/>
      <c r="UA157" s="13"/>
      <c r="UB157" s="13"/>
      <c r="UC157" s="13"/>
      <c r="UD157" s="13"/>
      <c r="UE157" s="13"/>
      <c r="UF157" s="13"/>
      <c r="UG157" s="13"/>
      <c r="UH157" s="13"/>
      <c r="UI157" s="13"/>
      <c r="UJ157" s="13"/>
      <c r="UK157" s="13"/>
      <c r="UL157" s="13"/>
      <c r="UM157" s="13"/>
      <c r="UN157" s="13"/>
      <c r="UO157" s="13"/>
      <c r="UP157" s="13"/>
      <c r="UQ157" s="13"/>
      <c r="UR157" s="13"/>
      <c r="US157" s="13"/>
      <c r="UT157" s="13"/>
      <c r="UU157" s="13"/>
      <c r="UV157" s="13"/>
      <c r="UW157" s="13"/>
      <c r="UX157" s="13"/>
      <c r="UY157" s="13"/>
      <c r="UZ157" s="13"/>
      <c r="VA157" s="13"/>
      <c r="VB157" s="13"/>
      <c r="VC157" s="13"/>
      <c r="VD157" s="13"/>
      <c r="VE157" s="13"/>
      <c r="VF157" s="13"/>
      <c r="VG157" s="13"/>
      <c r="VH157" s="13"/>
      <c r="VI157" s="13"/>
      <c r="VJ157" s="13"/>
      <c r="VK157" s="13"/>
      <c r="VL157" s="13"/>
      <c r="VM157" s="13"/>
      <c r="VN157" s="13"/>
      <c r="VO157" s="13"/>
      <c r="VP157" s="13"/>
      <c r="VQ157" s="13"/>
      <c r="VR157" s="13"/>
      <c r="VS157" s="13"/>
      <c r="VT157" s="13"/>
    </row>
    <row r="158" spans="1:592" s="13" customFormat="1" ht="21" x14ac:dyDescent="0.2">
      <c r="A158" s="10" t="s">
        <v>18</v>
      </c>
      <c r="B158" s="15" t="s">
        <v>408</v>
      </c>
      <c r="C158" s="11" t="s">
        <v>288</v>
      </c>
      <c r="D158" s="11">
        <v>9860755</v>
      </c>
      <c r="E158" s="228" t="s">
        <v>331</v>
      </c>
      <c r="F158" s="192" t="s">
        <v>294</v>
      </c>
      <c r="G158" s="201">
        <f>IFERROR(VLOOKUP(D158,List1!$A$5:$B$227,2,FALSE),"0")</f>
        <v>489000</v>
      </c>
      <c r="H158" s="41" t="str">
        <f>IFERROR(VLOOKUP(D158,List1!$D$5:$E$41,2,FALSE),"0")</f>
        <v>0</v>
      </c>
      <c r="I158" s="41">
        <f>IFERROR(VLOOKUP(D158,List1!$G$5:$H$227,2,FALSE),"0")</f>
        <v>30000</v>
      </c>
      <c r="J158" s="40">
        <f t="shared" si="18"/>
        <v>519000</v>
      </c>
      <c r="K158" s="41">
        <f>IFERROR(VLOOKUP(D158,List1!$J$5:$K$227,2,FALSE),"0")</f>
        <v>21000</v>
      </c>
      <c r="L158" s="41" t="str">
        <f>IFERROR(VLOOKUP(D158,List1!$M$5:$N$112,2,FALSE),"0")</f>
        <v>0</v>
      </c>
      <c r="M158" s="43">
        <v>0</v>
      </c>
      <c r="N158" s="80">
        <f>VLOOKUP($D$5:$D$251,List2!$A$2:$B$241,2,FALSE)</f>
        <v>105000</v>
      </c>
      <c r="O158" s="80">
        <f>IFERROR(VLOOKUP($D$5:$D$260,List1!$Y$5:$Z$244,2,FALSE),0)</f>
        <v>0</v>
      </c>
      <c r="P158" s="202">
        <f>IFERROR(VLOOKUP($D$5:$D$260,List1!$AB$5:$AC$244,2,FALSE),0)</f>
        <v>0</v>
      </c>
      <c r="Q158" s="201">
        <f>IFERROR(VLOOKUP($D$5:$D$260,List1!$S$5:$T$231,2,FALSE),0)</f>
        <v>470063</v>
      </c>
      <c r="R158" s="41">
        <v>0</v>
      </c>
      <c r="S158" s="41">
        <f>IFERROR(VLOOKUP($D$5:$D$260,List1!$AE$5:$AF$231,2,FALSE),0)</f>
        <v>100000</v>
      </c>
      <c r="T158" s="41">
        <f t="shared" si="19"/>
        <v>570063</v>
      </c>
      <c r="U158" s="41">
        <f>IFERROR(VLOOKUP(D158,List1!$P$5:$Q$110,2,FALSE),"0")</f>
        <v>57000</v>
      </c>
      <c r="V158" s="41">
        <v>0</v>
      </c>
      <c r="W158" s="248">
        <v>0</v>
      </c>
      <c r="X158" s="211">
        <f t="shared" si="20"/>
        <v>627063</v>
      </c>
      <c r="Y158" s="219"/>
      <c r="Z158" s="80">
        <f>IFERROR(VLOOKUP($D$5:$D$260,#REF!,3,FALSE),0)</f>
        <v>0</v>
      </c>
      <c r="AA158" s="80">
        <f>IFERROR(VLOOKUP($D$5:$D$260,#REF!,3,FALSE),0)</f>
        <v>0</v>
      </c>
      <c r="AB158" s="243">
        <v>0</v>
      </c>
      <c r="AC158" s="202">
        <f t="shared" si="21"/>
        <v>0</v>
      </c>
      <c r="AD158" s="259">
        <f t="shared" si="22"/>
        <v>-57000</v>
      </c>
      <c r="AE158" s="260">
        <f t="shared" si="23"/>
        <v>-1</v>
      </c>
      <c r="AF158" s="260">
        <f t="shared" si="24"/>
        <v>-1</v>
      </c>
      <c r="AG158" s="260">
        <f t="shared" si="25"/>
        <v>-1</v>
      </c>
    </row>
    <row r="159" spans="1:592" s="13" customFormat="1" ht="21" x14ac:dyDescent="0.2">
      <c r="A159" s="10" t="s">
        <v>97</v>
      </c>
      <c r="B159" s="11">
        <v>26623064</v>
      </c>
      <c r="C159" s="11" t="s">
        <v>267</v>
      </c>
      <c r="D159" s="11">
        <v>2284277</v>
      </c>
      <c r="E159" s="12" t="s">
        <v>268</v>
      </c>
      <c r="F159" s="192" t="s">
        <v>300</v>
      </c>
      <c r="G159" s="201" t="str">
        <f>IFERROR(VLOOKUP(D159,List1!$A$5:$B$227,2,FALSE),"0")</f>
        <v>0</v>
      </c>
      <c r="H159" s="41" t="str">
        <f>IFERROR(VLOOKUP(D159,List1!$D$5:$E$41,2,FALSE),"0")</f>
        <v>0</v>
      </c>
      <c r="I159" s="41" t="str">
        <f>IFERROR(VLOOKUP(D159,List1!$G$5:$H$227,2,FALSE),"0")</f>
        <v>0</v>
      </c>
      <c r="J159" s="40">
        <f t="shared" si="18"/>
        <v>0</v>
      </c>
      <c r="K159" s="41">
        <f>IFERROR(VLOOKUP(D159,List1!$J$5:$K$227,2,FALSE),"0")</f>
        <v>5000</v>
      </c>
      <c r="L159" s="41" t="str">
        <f>IFERROR(VLOOKUP(D159,List1!$M$5:$N$112,2,FALSE),"0")</f>
        <v>0</v>
      </c>
      <c r="M159" s="43">
        <v>0</v>
      </c>
      <c r="N159" s="80">
        <f>VLOOKUP($D$5:$D$251,List2!$A$2:$B$241,2,FALSE)</f>
        <v>0</v>
      </c>
      <c r="O159" s="80">
        <f>IFERROR(VLOOKUP($D$5:$D$260,List1!$Y$5:$Z$244,2,FALSE),0)</f>
        <v>0</v>
      </c>
      <c r="P159" s="202">
        <f>IFERROR(VLOOKUP($D$5:$D$260,List1!$AB$5:$AC$244,2,FALSE),0)</f>
        <v>0</v>
      </c>
      <c r="Q159" s="201">
        <f>IFERROR(VLOOKUP($D$5:$D$260,List1!$S$5:$T$231,2,FALSE),0)</f>
        <v>0</v>
      </c>
      <c r="R159" s="41">
        <v>0</v>
      </c>
      <c r="S159" s="41">
        <f>IFERROR(VLOOKUP($D$5:$D$260,List1!$AE$5:$AF$231,2,FALSE),0)</f>
        <v>0</v>
      </c>
      <c r="T159" s="41">
        <f t="shared" si="19"/>
        <v>0</v>
      </c>
      <c r="U159" s="41">
        <f>IFERROR(VLOOKUP(D159,List1!$P$5:$Q$110,2,FALSE),"0")</f>
        <v>22000</v>
      </c>
      <c r="V159" s="41">
        <v>0</v>
      </c>
      <c r="W159" s="248">
        <v>0</v>
      </c>
      <c r="X159" s="211">
        <f t="shared" si="20"/>
        <v>22000</v>
      </c>
      <c r="Y159" s="219"/>
      <c r="Z159" s="80">
        <f>IFERROR(VLOOKUP($D$5:$D$260,#REF!,3,FALSE),0)</f>
        <v>0</v>
      </c>
      <c r="AA159" s="80">
        <f>IFERROR(VLOOKUP($D$5:$D$260,#REF!,3,FALSE),0)</f>
        <v>0</v>
      </c>
      <c r="AB159" s="243">
        <v>0</v>
      </c>
      <c r="AC159" s="202">
        <f t="shared" si="21"/>
        <v>0</v>
      </c>
      <c r="AD159" s="259">
        <f t="shared" si="22"/>
        <v>-22000</v>
      </c>
      <c r="AE159" s="260">
        <f t="shared" si="23"/>
        <v>-1</v>
      </c>
      <c r="AF159" s="260">
        <f t="shared" si="24"/>
        <v>-1</v>
      </c>
      <c r="AG159" s="260">
        <f t="shared" si="25"/>
        <v>-1</v>
      </c>
    </row>
    <row r="160" spans="1:592" s="13" customFormat="1" ht="21" x14ac:dyDescent="0.2">
      <c r="A160" s="10" t="s">
        <v>97</v>
      </c>
      <c r="B160" s="11">
        <v>26623064</v>
      </c>
      <c r="C160" s="11" t="s">
        <v>267</v>
      </c>
      <c r="D160" s="11">
        <v>9864940</v>
      </c>
      <c r="E160" s="225" t="s">
        <v>283</v>
      </c>
      <c r="F160" s="192" t="s">
        <v>278</v>
      </c>
      <c r="G160" s="201" t="str">
        <f>IFERROR(VLOOKUP(D160,List1!$A$5:$B$227,2,FALSE),"0")</f>
        <v>0</v>
      </c>
      <c r="H160" s="41" t="str">
        <f>IFERROR(VLOOKUP(D160,List1!$D$5:$E$41,2,FALSE),"0")</f>
        <v>0</v>
      </c>
      <c r="I160" s="41" t="str">
        <f>IFERROR(VLOOKUP(D160,List1!$G$5:$H$227,2,FALSE),"0")</f>
        <v>0</v>
      </c>
      <c r="J160" s="40">
        <f t="shared" si="18"/>
        <v>0</v>
      </c>
      <c r="K160" s="41">
        <f>IFERROR(VLOOKUP(D160,List1!$J$5:$K$227,2,FALSE),"0")</f>
        <v>10000</v>
      </c>
      <c r="L160" s="41" t="str">
        <f>IFERROR(VLOOKUP(D160,List1!$M$5:$N$112,2,FALSE),"0")</f>
        <v>0</v>
      </c>
      <c r="M160" s="43">
        <v>0</v>
      </c>
      <c r="N160" s="80">
        <f>VLOOKUP($D$5:$D$251,List2!$A$2:$B$241,2,FALSE)</f>
        <v>0</v>
      </c>
      <c r="O160" s="80">
        <f>IFERROR(VLOOKUP($D$5:$D$260,List1!$Y$5:$Z$244,2,FALSE),0)</f>
        <v>0</v>
      </c>
      <c r="P160" s="202">
        <f>IFERROR(VLOOKUP($D$5:$D$260,List1!$AB$5:$AC$244,2,FALSE),0)</f>
        <v>0</v>
      </c>
      <c r="Q160" s="201">
        <f>IFERROR(VLOOKUP($D$5:$D$260,List1!$S$5:$T$231,2,FALSE),0)</f>
        <v>0</v>
      </c>
      <c r="R160" s="41">
        <v>0</v>
      </c>
      <c r="S160" s="41">
        <f>IFERROR(VLOOKUP($D$5:$D$260,List1!$AE$5:$AF$231,2,FALSE),0)</f>
        <v>0</v>
      </c>
      <c r="T160" s="41">
        <f t="shared" si="19"/>
        <v>0</v>
      </c>
      <c r="U160" s="41">
        <f>IFERROR(VLOOKUP(D160,List1!$P$5:$Q$110,2,FALSE),"0")</f>
        <v>33000</v>
      </c>
      <c r="V160" s="41">
        <v>0</v>
      </c>
      <c r="W160" s="248">
        <v>0</v>
      </c>
      <c r="X160" s="211">
        <f t="shared" si="20"/>
        <v>33000</v>
      </c>
      <c r="Y160" s="219"/>
      <c r="Z160" s="80">
        <f>IFERROR(VLOOKUP($D$5:$D$260,#REF!,3,FALSE),0)</f>
        <v>0</v>
      </c>
      <c r="AA160" s="80">
        <f>IFERROR(VLOOKUP($D$5:$D$260,#REF!,3,FALSE),0)</f>
        <v>0</v>
      </c>
      <c r="AB160" s="243">
        <v>0</v>
      </c>
      <c r="AC160" s="202">
        <f t="shared" si="21"/>
        <v>0</v>
      </c>
      <c r="AD160" s="259">
        <f t="shared" si="22"/>
        <v>-33000</v>
      </c>
      <c r="AE160" s="260">
        <f t="shared" si="23"/>
        <v>-1</v>
      </c>
      <c r="AF160" s="260">
        <f t="shared" si="24"/>
        <v>-1</v>
      </c>
      <c r="AG160" s="260">
        <f t="shared" si="25"/>
        <v>-1</v>
      </c>
    </row>
    <row r="161" spans="1:592" s="13" customFormat="1" ht="21" x14ac:dyDescent="0.2">
      <c r="A161" s="10" t="s">
        <v>97</v>
      </c>
      <c r="B161" s="11">
        <v>26623064</v>
      </c>
      <c r="C161" s="11" t="s">
        <v>374</v>
      </c>
      <c r="D161" s="11">
        <v>1201824</v>
      </c>
      <c r="E161" s="225" t="s">
        <v>337</v>
      </c>
      <c r="F161" s="192" t="s">
        <v>278</v>
      </c>
      <c r="G161" s="201">
        <f>IFERROR(VLOOKUP(D161,List1!$A$5:$B$227,2,FALSE),"0")</f>
        <v>322000</v>
      </c>
      <c r="H161" s="41" t="str">
        <f>IFERROR(VLOOKUP(D161,List1!$D$5:$E$41,2,FALSE),"0")</f>
        <v>0</v>
      </c>
      <c r="I161" s="41" t="str">
        <f>IFERROR(VLOOKUP(D161,List1!$G$5:$H$227,2,FALSE),"0")</f>
        <v>0</v>
      </c>
      <c r="J161" s="40">
        <f t="shared" si="18"/>
        <v>322000</v>
      </c>
      <c r="K161" s="41">
        <f>IFERROR(VLOOKUP(D161,List1!$J$5:$K$227,2,FALSE),"0")</f>
        <v>13000</v>
      </c>
      <c r="L161" s="41" t="str">
        <f>IFERROR(VLOOKUP(D161,List1!$M$5:$N$112,2,FALSE),"0")</f>
        <v>0</v>
      </c>
      <c r="M161" s="43">
        <v>0</v>
      </c>
      <c r="N161" s="80">
        <f>VLOOKUP($D$5:$D$251,List2!$A$2:$B$241,2,FALSE)</f>
        <v>0</v>
      </c>
      <c r="O161" s="80">
        <f>IFERROR(VLOOKUP($D$5:$D$260,List1!$Y$5:$Z$244,2,FALSE),0)</f>
        <v>0</v>
      </c>
      <c r="P161" s="202">
        <f>IFERROR(VLOOKUP($D$5:$D$260,List1!$AB$5:$AC$244,2,FALSE),0)</f>
        <v>0</v>
      </c>
      <c r="Q161" s="201">
        <f>IFERROR(VLOOKUP($D$5:$D$260,List1!$S$5:$T$231,2,FALSE),0)</f>
        <v>157609</v>
      </c>
      <c r="R161" s="41">
        <v>0</v>
      </c>
      <c r="S161" s="41">
        <f>IFERROR(VLOOKUP($D$5:$D$260,List1!$AE$5:$AF$231,2,FALSE),0)</f>
        <v>47591</v>
      </c>
      <c r="T161" s="41">
        <f t="shared" si="19"/>
        <v>205200</v>
      </c>
      <c r="U161" s="41">
        <f>IFERROR(VLOOKUP(D161,List1!$P$5:$Q$110,2,FALSE),"0")</f>
        <v>51000</v>
      </c>
      <c r="V161" s="41">
        <v>0</v>
      </c>
      <c r="W161" s="248">
        <v>0</v>
      </c>
      <c r="X161" s="211">
        <f t="shared" si="20"/>
        <v>256200</v>
      </c>
      <c r="Y161" s="219"/>
      <c r="Z161" s="80">
        <f>IFERROR(VLOOKUP($D$5:$D$260,#REF!,3,FALSE),0)</f>
        <v>0</v>
      </c>
      <c r="AA161" s="80">
        <f>IFERROR(VLOOKUP($D$5:$D$260,#REF!,3,FALSE),0)</f>
        <v>0</v>
      </c>
      <c r="AB161" s="243">
        <v>0</v>
      </c>
      <c r="AC161" s="202">
        <f t="shared" si="21"/>
        <v>0</v>
      </c>
      <c r="AD161" s="259">
        <f t="shared" si="22"/>
        <v>-51000</v>
      </c>
      <c r="AE161" s="260">
        <f t="shared" si="23"/>
        <v>-1</v>
      </c>
      <c r="AF161" s="260">
        <f t="shared" si="24"/>
        <v>-1</v>
      </c>
      <c r="AG161" s="260">
        <f t="shared" si="25"/>
        <v>-1</v>
      </c>
    </row>
    <row r="162" spans="1:592" s="27" customFormat="1" ht="21" x14ac:dyDescent="0.2">
      <c r="A162" s="10" t="s">
        <v>97</v>
      </c>
      <c r="B162" s="11">
        <v>26623064</v>
      </c>
      <c r="C162" s="11" t="s">
        <v>267</v>
      </c>
      <c r="D162" s="11">
        <v>7472903</v>
      </c>
      <c r="E162" s="228" t="s">
        <v>314</v>
      </c>
      <c r="F162" s="192" t="s">
        <v>300</v>
      </c>
      <c r="G162" s="201" t="str">
        <f>IFERROR(VLOOKUP(D162,List1!$A$5:$B$227,2,FALSE),"0")</f>
        <v>0</v>
      </c>
      <c r="H162" s="41" t="str">
        <f>IFERROR(VLOOKUP(D162,List1!$D$5:$E$41,2,FALSE),"0")</f>
        <v>0</v>
      </c>
      <c r="I162" s="41" t="str">
        <f>IFERROR(VLOOKUP(D162,List1!$G$5:$H$227,2,FALSE),"0")</f>
        <v>0</v>
      </c>
      <c r="J162" s="40">
        <f t="shared" si="18"/>
        <v>0</v>
      </c>
      <c r="K162" s="41">
        <f>IFERROR(VLOOKUP(D162,List1!$J$5:$K$227,2,FALSE),"0")</f>
        <v>8000</v>
      </c>
      <c r="L162" s="41" t="str">
        <f>IFERROR(VLOOKUP(D162,List1!$M$5:$N$112,2,FALSE),"0")</f>
        <v>0</v>
      </c>
      <c r="M162" s="43">
        <v>0</v>
      </c>
      <c r="N162" s="80">
        <f>VLOOKUP($D$5:$D$251,List2!$A$2:$B$241,2,FALSE)</f>
        <v>0</v>
      </c>
      <c r="O162" s="80">
        <f>IFERROR(VLOOKUP($D$5:$D$260,List1!$Y$5:$Z$244,2,FALSE),0)</f>
        <v>0</v>
      </c>
      <c r="P162" s="202">
        <f>IFERROR(VLOOKUP($D$5:$D$260,List1!$AB$5:$AC$244,2,FALSE),0)</f>
        <v>0</v>
      </c>
      <c r="Q162" s="201">
        <f>IFERROR(VLOOKUP($D$5:$D$260,List1!$S$5:$T$231,2,FALSE),0)</f>
        <v>0</v>
      </c>
      <c r="R162" s="41">
        <v>0</v>
      </c>
      <c r="S162" s="41">
        <f>IFERROR(VLOOKUP($D$5:$D$260,List1!$AE$5:$AF$231,2,FALSE),0)</f>
        <v>0</v>
      </c>
      <c r="T162" s="41">
        <f t="shared" si="19"/>
        <v>0</v>
      </c>
      <c r="U162" s="41">
        <f>IFERROR(VLOOKUP(D162,List1!$P$5:$Q$110,2,FALSE),"0")</f>
        <v>25000</v>
      </c>
      <c r="V162" s="41">
        <v>0</v>
      </c>
      <c r="W162" s="248">
        <v>0</v>
      </c>
      <c r="X162" s="211">
        <f t="shared" si="20"/>
        <v>25000</v>
      </c>
      <c r="Y162" s="219"/>
      <c r="Z162" s="80">
        <f>IFERROR(VLOOKUP($D$5:$D$260,#REF!,3,FALSE),0)</f>
        <v>0</v>
      </c>
      <c r="AA162" s="80">
        <f>IFERROR(VLOOKUP($D$5:$D$260,#REF!,3,FALSE),0)</f>
        <v>0</v>
      </c>
      <c r="AB162" s="243">
        <v>0</v>
      </c>
      <c r="AC162" s="202">
        <f t="shared" si="21"/>
        <v>0</v>
      </c>
      <c r="AD162" s="259">
        <f t="shared" si="22"/>
        <v>-25000</v>
      </c>
      <c r="AE162" s="260">
        <f t="shared" si="23"/>
        <v>-1</v>
      </c>
      <c r="AF162" s="260">
        <f t="shared" si="24"/>
        <v>-1</v>
      </c>
      <c r="AG162" s="260">
        <f t="shared" si="25"/>
        <v>-1</v>
      </c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  <c r="IS162" s="13"/>
      <c r="IT162" s="13"/>
      <c r="IU162" s="13"/>
      <c r="IV162" s="13"/>
      <c r="IW162" s="13"/>
      <c r="IX162" s="13"/>
      <c r="IY162" s="13"/>
      <c r="IZ162" s="13"/>
      <c r="JA162" s="13"/>
      <c r="JB162" s="13"/>
      <c r="JC162" s="13"/>
      <c r="JD162" s="13"/>
      <c r="JE162" s="13"/>
      <c r="JF162" s="13"/>
      <c r="JG162" s="13"/>
      <c r="JH162" s="13"/>
      <c r="JI162" s="13"/>
      <c r="JJ162" s="13"/>
      <c r="JK162" s="13"/>
      <c r="JL162" s="13"/>
      <c r="JM162" s="13"/>
      <c r="JN162" s="13"/>
      <c r="JO162" s="13"/>
      <c r="JP162" s="13"/>
      <c r="JQ162" s="13"/>
      <c r="JR162" s="13"/>
      <c r="JS162" s="13"/>
      <c r="JT162" s="13"/>
      <c r="JU162" s="13"/>
      <c r="JV162" s="13"/>
      <c r="JW162" s="13"/>
      <c r="JX162" s="13"/>
      <c r="JY162" s="13"/>
      <c r="JZ162" s="13"/>
      <c r="KA162" s="13"/>
      <c r="KB162" s="13"/>
      <c r="KC162" s="13"/>
      <c r="KD162" s="13"/>
      <c r="KE162" s="13"/>
      <c r="KF162" s="13"/>
      <c r="KG162" s="13"/>
      <c r="KH162" s="13"/>
      <c r="KI162" s="13"/>
      <c r="KJ162" s="13"/>
      <c r="KK162" s="13"/>
      <c r="KL162" s="13"/>
      <c r="KM162" s="13"/>
      <c r="KN162" s="13"/>
      <c r="KO162" s="13"/>
      <c r="KP162" s="13"/>
      <c r="KQ162" s="13"/>
      <c r="KR162" s="13"/>
      <c r="KS162" s="13"/>
      <c r="KT162" s="13"/>
      <c r="KU162" s="13"/>
      <c r="KV162" s="13"/>
      <c r="KW162" s="13"/>
      <c r="KX162" s="13"/>
      <c r="KY162" s="13"/>
      <c r="KZ162" s="13"/>
      <c r="LA162" s="13"/>
      <c r="LB162" s="13"/>
      <c r="LC162" s="13"/>
      <c r="LD162" s="13"/>
      <c r="LE162" s="13"/>
      <c r="LF162" s="13"/>
      <c r="LG162" s="13"/>
      <c r="LH162" s="13"/>
      <c r="LI162" s="13"/>
      <c r="LJ162" s="13"/>
      <c r="LK162" s="13"/>
      <c r="LL162" s="13"/>
      <c r="LM162" s="13"/>
      <c r="LN162" s="13"/>
      <c r="LO162" s="13"/>
      <c r="LP162" s="13"/>
      <c r="LQ162" s="13"/>
      <c r="LR162" s="13"/>
      <c r="LS162" s="13"/>
      <c r="LT162" s="13"/>
      <c r="LU162" s="13"/>
      <c r="LV162" s="13"/>
      <c r="LW162" s="13"/>
      <c r="LX162" s="13"/>
      <c r="LY162" s="13"/>
      <c r="LZ162" s="13"/>
      <c r="MA162" s="13"/>
      <c r="MB162" s="13"/>
      <c r="MC162" s="13"/>
      <c r="MD162" s="13"/>
      <c r="ME162" s="13"/>
      <c r="MF162" s="13"/>
      <c r="MG162" s="13"/>
      <c r="MH162" s="13"/>
      <c r="MI162" s="13"/>
      <c r="MJ162" s="13"/>
      <c r="MK162" s="13"/>
      <c r="ML162" s="13"/>
      <c r="MM162" s="13"/>
      <c r="MN162" s="13"/>
      <c r="MO162" s="13"/>
      <c r="MP162" s="13"/>
      <c r="MQ162" s="13"/>
      <c r="MR162" s="13"/>
      <c r="MS162" s="13"/>
      <c r="MT162" s="13"/>
      <c r="MU162" s="13"/>
      <c r="MV162" s="13"/>
      <c r="MW162" s="13"/>
      <c r="MX162" s="13"/>
      <c r="MY162" s="13"/>
      <c r="MZ162" s="13"/>
      <c r="NA162" s="13"/>
      <c r="NB162" s="13"/>
      <c r="NC162" s="13"/>
      <c r="ND162" s="13"/>
      <c r="NE162" s="13"/>
      <c r="NF162" s="13"/>
      <c r="NG162" s="13"/>
      <c r="NH162" s="13"/>
      <c r="NI162" s="13"/>
      <c r="NJ162" s="13"/>
      <c r="NK162" s="13"/>
      <c r="NL162" s="13"/>
      <c r="NM162" s="13"/>
      <c r="NN162" s="13"/>
      <c r="NO162" s="13"/>
      <c r="NP162" s="13"/>
      <c r="NQ162" s="13"/>
      <c r="NR162" s="13"/>
      <c r="NS162" s="13"/>
      <c r="NT162" s="13"/>
      <c r="NU162" s="13"/>
      <c r="NV162" s="13"/>
      <c r="NW162" s="13"/>
      <c r="NX162" s="13"/>
      <c r="NY162" s="13"/>
      <c r="NZ162" s="13"/>
      <c r="OA162" s="13"/>
      <c r="OB162" s="13"/>
      <c r="OC162" s="13"/>
      <c r="OD162" s="13"/>
      <c r="OE162" s="13"/>
      <c r="OF162" s="13"/>
      <c r="OG162" s="13"/>
      <c r="OH162" s="13"/>
      <c r="OI162" s="13"/>
      <c r="OJ162" s="13"/>
      <c r="OK162" s="13"/>
      <c r="OL162" s="13"/>
      <c r="OM162" s="13"/>
      <c r="ON162" s="13"/>
      <c r="OO162" s="13"/>
      <c r="OP162" s="13"/>
      <c r="OQ162" s="13"/>
      <c r="OR162" s="13"/>
      <c r="OS162" s="13"/>
      <c r="OT162" s="13"/>
      <c r="OU162" s="13"/>
      <c r="OV162" s="13"/>
      <c r="OW162" s="13"/>
      <c r="OX162" s="13"/>
      <c r="OY162" s="13"/>
      <c r="OZ162" s="13"/>
      <c r="PA162" s="13"/>
      <c r="PB162" s="13"/>
      <c r="PC162" s="13"/>
      <c r="PD162" s="13"/>
      <c r="PE162" s="13"/>
      <c r="PF162" s="13"/>
      <c r="PG162" s="13"/>
      <c r="PH162" s="13"/>
      <c r="PI162" s="13"/>
      <c r="PJ162" s="13"/>
      <c r="PK162" s="13"/>
      <c r="PL162" s="13"/>
      <c r="PM162" s="13"/>
      <c r="PN162" s="13"/>
      <c r="PO162" s="13"/>
      <c r="PP162" s="13"/>
      <c r="PQ162" s="13"/>
      <c r="PR162" s="13"/>
      <c r="PS162" s="13"/>
      <c r="PT162" s="13"/>
      <c r="PU162" s="13"/>
      <c r="PV162" s="13"/>
      <c r="PW162" s="13"/>
      <c r="PX162" s="13"/>
      <c r="PY162" s="13"/>
      <c r="PZ162" s="13"/>
      <c r="QA162" s="13"/>
      <c r="QB162" s="13"/>
      <c r="QC162" s="13"/>
      <c r="QD162" s="13"/>
      <c r="QE162" s="13"/>
      <c r="QF162" s="13"/>
      <c r="QG162" s="13"/>
      <c r="QH162" s="13"/>
      <c r="QI162" s="13"/>
      <c r="QJ162" s="13"/>
      <c r="QK162" s="13"/>
      <c r="QL162" s="13"/>
      <c r="QM162" s="13"/>
      <c r="QN162" s="13"/>
      <c r="QO162" s="13"/>
      <c r="QP162" s="13"/>
      <c r="QQ162" s="13"/>
      <c r="QR162" s="13"/>
      <c r="QS162" s="13"/>
      <c r="QT162" s="13"/>
      <c r="QU162" s="13"/>
      <c r="QV162" s="13"/>
      <c r="QW162" s="13"/>
      <c r="QX162" s="13"/>
      <c r="QY162" s="13"/>
      <c r="QZ162" s="13"/>
      <c r="RA162" s="13"/>
      <c r="RB162" s="13"/>
      <c r="RC162" s="13"/>
      <c r="RD162" s="13"/>
      <c r="RE162" s="13"/>
      <c r="RF162" s="13"/>
      <c r="RG162" s="13"/>
      <c r="RH162" s="13"/>
      <c r="RI162" s="13"/>
      <c r="RJ162" s="13"/>
      <c r="RK162" s="13"/>
      <c r="RL162" s="13"/>
      <c r="RM162" s="13"/>
      <c r="RN162" s="13"/>
      <c r="RO162" s="13"/>
      <c r="RP162" s="13"/>
      <c r="RQ162" s="13"/>
      <c r="RR162" s="13"/>
      <c r="RS162" s="13"/>
      <c r="RT162" s="13"/>
      <c r="RU162" s="13"/>
      <c r="RV162" s="13"/>
      <c r="RW162" s="13"/>
      <c r="RX162" s="13"/>
      <c r="RY162" s="13"/>
      <c r="RZ162" s="13"/>
      <c r="SA162" s="13"/>
      <c r="SB162" s="13"/>
      <c r="SC162" s="13"/>
      <c r="SD162" s="13"/>
      <c r="SE162" s="13"/>
      <c r="SF162" s="13"/>
      <c r="SG162" s="13"/>
      <c r="SH162" s="13"/>
      <c r="SI162" s="13"/>
      <c r="SJ162" s="13"/>
      <c r="SK162" s="13"/>
      <c r="SL162" s="13"/>
      <c r="SM162" s="13"/>
      <c r="SN162" s="13"/>
      <c r="SO162" s="13"/>
      <c r="SP162" s="13"/>
      <c r="SQ162" s="13"/>
      <c r="SR162" s="13"/>
      <c r="SS162" s="13"/>
      <c r="ST162" s="13"/>
      <c r="SU162" s="13"/>
      <c r="SV162" s="13"/>
      <c r="SW162" s="13"/>
      <c r="SX162" s="13"/>
      <c r="SY162" s="13"/>
      <c r="SZ162" s="13"/>
      <c r="TA162" s="13"/>
      <c r="TB162" s="13"/>
      <c r="TC162" s="13"/>
      <c r="TD162" s="13"/>
      <c r="TE162" s="13"/>
      <c r="TF162" s="13"/>
      <c r="TG162" s="13"/>
      <c r="TH162" s="13"/>
      <c r="TI162" s="13"/>
      <c r="TJ162" s="13"/>
      <c r="TK162" s="13"/>
      <c r="TL162" s="13"/>
      <c r="TM162" s="13"/>
      <c r="TN162" s="13"/>
      <c r="TO162" s="13"/>
      <c r="TP162" s="13"/>
      <c r="TQ162" s="13"/>
      <c r="TR162" s="13"/>
      <c r="TS162" s="13"/>
      <c r="TT162" s="13"/>
      <c r="TU162" s="13"/>
      <c r="TV162" s="13"/>
      <c r="TW162" s="13"/>
      <c r="TX162" s="13"/>
      <c r="TY162" s="13"/>
      <c r="TZ162" s="13"/>
      <c r="UA162" s="13"/>
      <c r="UB162" s="13"/>
      <c r="UC162" s="13"/>
      <c r="UD162" s="13"/>
      <c r="UE162" s="13"/>
      <c r="UF162" s="13"/>
      <c r="UG162" s="13"/>
      <c r="UH162" s="13"/>
      <c r="UI162" s="13"/>
      <c r="UJ162" s="13"/>
      <c r="UK162" s="13"/>
      <c r="UL162" s="13"/>
      <c r="UM162" s="13"/>
      <c r="UN162" s="13"/>
      <c r="UO162" s="13"/>
      <c r="UP162" s="13"/>
      <c r="UQ162" s="13"/>
      <c r="UR162" s="13"/>
      <c r="US162" s="13"/>
      <c r="UT162" s="13"/>
      <c r="UU162" s="13"/>
      <c r="UV162" s="13"/>
      <c r="UW162" s="13"/>
      <c r="UX162" s="13"/>
      <c r="UY162" s="13"/>
      <c r="UZ162" s="13"/>
      <c r="VA162" s="13"/>
      <c r="VB162" s="13"/>
      <c r="VC162" s="13"/>
      <c r="VD162" s="13"/>
      <c r="VE162" s="13"/>
      <c r="VF162" s="13"/>
      <c r="VG162" s="13"/>
      <c r="VH162" s="13"/>
      <c r="VI162" s="13"/>
      <c r="VJ162" s="13"/>
      <c r="VK162" s="13"/>
      <c r="VL162" s="13"/>
      <c r="VM162" s="13"/>
      <c r="VN162" s="13"/>
      <c r="VO162" s="13"/>
      <c r="VP162" s="13"/>
      <c r="VQ162" s="13"/>
      <c r="VR162" s="13"/>
      <c r="VS162" s="13"/>
      <c r="VT162" s="13"/>
    </row>
    <row r="163" spans="1:592" s="13" customFormat="1" ht="31.5" x14ac:dyDescent="0.2">
      <c r="A163" s="10" t="s">
        <v>97</v>
      </c>
      <c r="B163" s="11">
        <v>26623064</v>
      </c>
      <c r="C163" s="11" t="s">
        <v>267</v>
      </c>
      <c r="D163" s="11">
        <v>4319542</v>
      </c>
      <c r="E163" s="228" t="s">
        <v>308</v>
      </c>
      <c r="F163" s="192" t="s">
        <v>269</v>
      </c>
      <c r="G163" s="201" t="str">
        <f>IFERROR(VLOOKUP(D163,List1!$A$5:$B$227,2,FALSE),"0")</f>
        <v>0</v>
      </c>
      <c r="H163" s="41" t="str">
        <f>IFERROR(VLOOKUP(D163,List1!$D$5:$E$41,2,FALSE),"0")</f>
        <v>0</v>
      </c>
      <c r="I163" s="41" t="str">
        <f>IFERROR(VLOOKUP(D163,List1!$G$5:$H$227,2,FALSE),"0")</f>
        <v>0</v>
      </c>
      <c r="J163" s="40">
        <f t="shared" si="18"/>
        <v>0</v>
      </c>
      <c r="K163" s="41">
        <f>IFERROR(VLOOKUP(D163,List1!$J$5:$K$227,2,FALSE),"0")</f>
        <v>5000</v>
      </c>
      <c r="L163" s="41" t="str">
        <f>IFERROR(VLOOKUP(D163,List1!$M$5:$N$112,2,FALSE),"0")</f>
        <v>0</v>
      </c>
      <c r="M163" s="43">
        <v>0</v>
      </c>
      <c r="N163" s="80">
        <f>VLOOKUP($D$5:$D$251,List2!$A$2:$B$241,2,FALSE)</f>
        <v>0</v>
      </c>
      <c r="O163" s="80">
        <f>IFERROR(VLOOKUP($D$5:$D$260,List1!$Y$5:$Z$244,2,FALSE),0)</f>
        <v>0</v>
      </c>
      <c r="P163" s="202">
        <f>IFERROR(VLOOKUP($D$5:$D$260,List1!$AB$5:$AC$244,2,FALSE),0)</f>
        <v>0</v>
      </c>
      <c r="Q163" s="201">
        <f>IFERROR(VLOOKUP($D$5:$D$260,List1!$S$5:$T$231,2,FALSE),0)</f>
        <v>0</v>
      </c>
      <c r="R163" s="41">
        <v>0</v>
      </c>
      <c r="S163" s="41">
        <f>IFERROR(VLOOKUP($D$5:$D$260,List1!$AE$5:$AF$231,2,FALSE),0)</f>
        <v>0</v>
      </c>
      <c r="T163" s="41">
        <f t="shared" si="19"/>
        <v>0</v>
      </c>
      <c r="U163" s="41">
        <f>IFERROR(VLOOKUP(D163,List1!$P$5:$Q$110,2,FALSE),"0")</f>
        <v>18000</v>
      </c>
      <c r="V163" s="41">
        <v>0</v>
      </c>
      <c r="W163" s="248">
        <v>0</v>
      </c>
      <c r="X163" s="211">
        <f t="shared" si="20"/>
        <v>18000</v>
      </c>
      <c r="Y163" s="219"/>
      <c r="Z163" s="80">
        <f>IFERROR(VLOOKUP($D$5:$D$260,#REF!,3,FALSE),0)</f>
        <v>0</v>
      </c>
      <c r="AA163" s="80">
        <f>IFERROR(VLOOKUP($D$5:$D$260,#REF!,3,FALSE),0)</f>
        <v>0</v>
      </c>
      <c r="AB163" s="243">
        <v>0</v>
      </c>
      <c r="AC163" s="202">
        <f t="shared" si="21"/>
        <v>0</v>
      </c>
      <c r="AD163" s="259">
        <f t="shared" si="22"/>
        <v>-18000</v>
      </c>
      <c r="AE163" s="260">
        <f t="shared" si="23"/>
        <v>-1</v>
      </c>
      <c r="AF163" s="260">
        <f t="shared" si="24"/>
        <v>-1</v>
      </c>
      <c r="AG163" s="260">
        <f t="shared" si="25"/>
        <v>-1</v>
      </c>
    </row>
    <row r="164" spans="1:592" s="13" customFormat="1" ht="31.5" x14ac:dyDescent="0.2">
      <c r="A164" s="10" t="s">
        <v>120</v>
      </c>
      <c r="B164" s="11">
        <v>27323773</v>
      </c>
      <c r="C164" s="11" t="s">
        <v>318</v>
      </c>
      <c r="D164" s="11">
        <v>6224406</v>
      </c>
      <c r="E164" s="228" t="s">
        <v>364</v>
      </c>
      <c r="F164" s="192" t="s">
        <v>278</v>
      </c>
      <c r="G164" s="201">
        <f>IFERROR(VLOOKUP(D164,List1!$A$5:$B$227,2,FALSE),"0")</f>
        <v>1977000</v>
      </c>
      <c r="H164" s="41" t="str">
        <f>IFERROR(VLOOKUP(D164,List1!$D$5:$E$41,2,FALSE),"0")</f>
        <v>0</v>
      </c>
      <c r="I164" s="41">
        <f>IFERROR(VLOOKUP(D164,List1!$G$5:$H$227,2,FALSE),"0")</f>
        <v>750000</v>
      </c>
      <c r="J164" s="40">
        <f t="shared" si="18"/>
        <v>2727000</v>
      </c>
      <c r="K164" s="41">
        <f>IFERROR(VLOOKUP(D164,List1!$J$5:$K$227,2,FALSE),"0")</f>
        <v>128000</v>
      </c>
      <c r="L164" s="41">
        <f>IFERROR(VLOOKUP(D164,List1!$M$5:$N$112,2,FALSE),"0")</f>
        <v>54000</v>
      </c>
      <c r="M164" s="43">
        <v>0</v>
      </c>
      <c r="N164" s="80">
        <f>VLOOKUP($D$5:$D$251,List2!$A$2:$B$241,2,FALSE)</f>
        <v>266268</v>
      </c>
      <c r="O164" s="80">
        <f>IFERROR(VLOOKUP($D$5:$D$260,List1!$Y$5:$Z$244,2,FALSE),0)</f>
        <v>0</v>
      </c>
      <c r="P164" s="202">
        <f>IFERROR(VLOOKUP($D$5:$D$260,List1!$AB$5:$AC$244,2,FALSE),0)</f>
        <v>0</v>
      </c>
      <c r="Q164" s="201">
        <f>IFERROR(VLOOKUP($D$5:$D$260,List1!$S$5:$T$231,2,FALSE),0)</f>
        <v>2286563</v>
      </c>
      <c r="R164" s="41">
        <v>0</v>
      </c>
      <c r="S164" s="41">
        <f>IFERROR(VLOOKUP($D$5:$D$260,List1!$AE$5:$AF$231,2,FALSE),0)</f>
        <v>180000</v>
      </c>
      <c r="T164" s="41">
        <f t="shared" si="19"/>
        <v>2466563</v>
      </c>
      <c r="U164" s="41">
        <f>IFERROR(VLOOKUP(D164,List1!$P$5:$Q$110,2,FALSE),"0")</f>
        <v>348000</v>
      </c>
      <c r="V164" s="41">
        <v>0</v>
      </c>
      <c r="W164" s="248">
        <v>0</v>
      </c>
      <c r="X164" s="211">
        <f t="shared" si="20"/>
        <v>2814563</v>
      </c>
      <c r="Y164" s="219"/>
      <c r="Z164" s="80">
        <f>IFERROR(VLOOKUP($D$5:$D$260,#REF!,3,FALSE),0)</f>
        <v>0</v>
      </c>
      <c r="AA164" s="80">
        <f>IFERROR(VLOOKUP($D$5:$D$260,#REF!,3,FALSE),0)</f>
        <v>0</v>
      </c>
      <c r="AB164" s="243">
        <v>0</v>
      </c>
      <c r="AC164" s="202">
        <f t="shared" si="21"/>
        <v>0</v>
      </c>
      <c r="AD164" s="259">
        <f t="shared" si="22"/>
        <v>-348000</v>
      </c>
      <c r="AE164" s="260">
        <f t="shared" si="23"/>
        <v>-1</v>
      </c>
      <c r="AF164" s="260">
        <f t="shared" si="24"/>
        <v>-1</v>
      </c>
      <c r="AG164" s="260">
        <f t="shared" si="25"/>
        <v>-1</v>
      </c>
    </row>
    <row r="165" spans="1:592" s="13" customFormat="1" ht="31.5" x14ac:dyDescent="0.2">
      <c r="A165" s="10" t="s">
        <v>411</v>
      </c>
      <c r="B165" s="11">
        <v>27323773</v>
      </c>
      <c r="C165" s="11" t="s">
        <v>318</v>
      </c>
      <c r="D165" s="11">
        <v>7228496</v>
      </c>
      <c r="E165" s="228" t="s">
        <v>364</v>
      </c>
      <c r="F165" s="192" t="s">
        <v>278</v>
      </c>
      <c r="G165" s="201">
        <f>IFERROR(VLOOKUP(D165,List1!$A$5:$B$227,2,FALSE),"0")</f>
        <v>625000</v>
      </c>
      <c r="H165" s="41" t="str">
        <f>IFERROR(VLOOKUP(D165,List1!$D$5:$E$41,2,FALSE),"0")</f>
        <v>0</v>
      </c>
      <c r="I165" s="41" t="str">
        <f>IFERROR(VLOOKUP(D165,List1!$G$5:$H$227,2,FALSE),"0")</f>
        <v>0</v>
      </c>
      <c r="J165" s="40">
        <f t="shared" si="18"/>
        <v>625000</v>
      </c>
      <c r="K165" s="41" t="str">
        <f>IFERROR(VLOOKUP(D165,List1!$J$5:$K$227,2,FALSE),"0")</f>
        <v>0</v>
      </c>
      <c r="L165" s="41" t="str">
        <f>IFERROR(VLOOKUP(D165,List1!$M$5:$N$112,2,FALSE),"0")</f>
        <v>0</v>
      </c>
      <c r="M165" s="43">
        <v>0</v>
      </c>
      <c r="N165" s="80">
        <f>VLOOKUP($D$5:$D$251,List2!$A$2:$B$241,2,FALSE)</f>
        <v>100000</v>
      </c>
      <c r="O165" s="80">
        <f>IFERROR(VLOOKUP($D$5:$D$260,List1!$Y$5:$Z$244,2,FALSE),0)</f>
        <v>0</v>
      </c>
      <c r="P165" s="202">
        <f>IFERROR(VLOOKUP($D$5:$D$260,List1!$AB$5:$AC$244,2,FALSE),0)</f>
        <v>0</v>
      </c>
      <c r="Q165" s="201">
        <f>IFERROR(VLOOKUP($D$5:$D$260,List1!$S$5:$T$231,2,FALSE),0)</f>
        <v>1945153</v>
      </c>
      <c r="R165" s="41">
        <v>0</v>
      </c>
      <c r="S165" s="41">
        <f>IFERROR(VLOOKUP($D$5:$D$260,List1!$AE$5:$AF$231,2,FALSE),0)</f>
        <v>0</v>
      </c>
      <c r="T165" s="41">
        <f t="shared" si="19"/>
        <v>1945153</v>
      </c>
      <c r="U165" s="41" t="str">
        <f>IFERROR(VLOOKUP(D165,List1!$P$5:$Q$110,2,FALSE),"0")</f>
        <v>0</v>
      </c>
      <c r="V165" s="41">
        <v>0</v>
      </c>
      <c r="W165" s="248">
        <v>0</v>
      </c>
      <c r="X165" s="211">
        <f t="shared" si="20"/>
        <v>1945153</v>
      </c>
      <c r="Y165" s="219"/>
      <c r="Z165" s="80">
        <f>IFERROR(VLOOKUP($D$5:$D$260,#REF!,3,FALSE),0)</f>
        <v>0</v>
      </c>
      <c r="AA165" s="80">
        <f>IFERROR(VLOOKUP($D$5:$D$260,#REF!,3,FALSE),0)</f>
        <v>0</v>
      </c>
      <c r="AB165" s="243">
        <v>0</v>
      </c>
      <c r="AC165" s="202">
        <f t="shared" si="21"/>
        <v>0</v>
      </c>
      <c r="AD165" s="259">
        <f t="shared" si="22"/>
        <v>0</v>
      </c>
      <c r="AE165" s="260">
        <f t="shared" si="23"/>
        <v>0</v>
      </c>
      <c r="AF165" s="260">
        <f t="shared" si="24"/>
        <v>0</v>
      </c>
      <c r="AG165" s="260">
        <f t="shared" si="25"/>
        <v>0</v>
      </c>
    </row>
    <row r="166" spans="1:592" s="27" customFormat="1" ht="63" x14ac:dyDescent="0.2">
      <c r="A166" s="10" t="s">
        <v>412</v>
      </c>
      <c r="B166" s="15" t="s">
        <v>413</v>
      </c>
      <c r="C166" s="11" t="s">
        <v>324</v>
      </c>
      <c r="D166" s="11">
        <v>3702507</v>
      </c>
      <c r="E166" s="225" t="s">
        <v>414</v>
      </c>
      <c r="F166" s="192" t="s">
        <v>278</v>
      </c>
      <c r="G166" s="201">
        <f>IFERROR(VLOOKUP(D166,List1!$A$5:$B$227,2,FALSE),"0")</f>
        <v>866000</v>
      </c>
      <c r="H166" s="41" t="str">
        <f>IFERROR(VLOOKUP(D166,List1!$D$5:$E$41,2,FALSE),"0")</f>
        <v>0</v>
      </c>
      <c r="I166" s="41" t="str">
        <f>IFERROR(VLOOKUP(D166,List1!$G$5:$H$227,2,FALSE),"0")</f>
        <v>0</v>
      </c>
      <c r="J166" s="40">
        <f t="shared" si="18"/>
        <v>866000</v>
      </c>
      <c r="K166" s="41" t="str">
        <f>IFERROR(VLOOKUP(D166,List1!$J$5:$K$227,2,FALSE),"0")</f>
        <v>0</v>
      </c>
      <c r="L166" s="41">
        <f>IFERROR(VLOOKUP(D166,List1!$M$5:$N$112,2,FALSE),"0")</f>
        <v>27000</v>
      </c>
      <c r="M166" s="43">
        <v>0</v>
      </c>
      <c r="N166" s="80">
        <f>VLOOKUP($D$5:$D$251,List2!$A$2:$B$241,2,FALSE)</f>
        <v>0</v>
      </c>
      <c r="O166" s="80">
        <f>IFERROR(VLOOKUP($D$5:$D$260,List1!$Y$5:$Z$244,2,FALSE),0)</f>
        <v>0</v>
      </c>
      <c r="P166" s="202">
        <f>IFERROR(VLOOKUP($D$5:$D$260,List1!$AB$5:$AC$244,2,FALSE),0)</f>
        <v>0</v>
      </c>
      <c r="Q166" s="201">
        <f>IFERROR(VLOOKUP($D$5:$D$260,List1!$S$5:$T$231,2,FALSE),0)</f>
        <v>753483</v>
      </c>
      <c r="R166" s="41">
        <v>0</v>
      </c>
      <c r="S166" s="41">
        <f>IFERROR(VLOOKUP($D$5:$D$260,List1!$AE$5:$AF$231,2,FALSE),0)</f>
        <v>227517</v>
      </c>
      <c r="T166" s="41">
        <f t="shared" si="19"/>
        <v>981000</v>
      </c>
      <c r="U166" s="41" t="str">
        <f>IFERROR(VLOOKUP(D166,List1!$P$5:$Q$110,2,FALSE),"0")</f>
        <v>0</v>
      </c>
      <c r="V166" s="41">
        <v>0</v>
      </c>
      <c r="W166" s="248">
        <v>0</v>
      </c>
      <c r="X166" s="211">
        <f t="shared" si="20"/>
        <v>981000</v>
      </c>
      <c r="Y166" s="219"/>
      <c r="Z166" s="80">
        <f>IFERROR(VLOOKUP($D$5:$D$260,#REF!,3,FALSE),0)</f>
        <v>0</v>
      </c>
      <c r="AA166" s="80">
        <f>IFERROR(VLOOKUP($D$5:$D$260,#REF!,3,FALSE),0)</f>
        <v>0</v>
      </c>
      <c r="AB166" s="243">
        <v>0</v>
      </c>
      <c r="AC166" s="202">
        <f t="shared" si="21"/>
        <v>0</v>
      </c>
      <c r="AD166" s="259">
        <f t="shared" si="22"/>
        <v>0</v>
      </c>
      <c r="AE166" s="260">
        <f t="shared" si="23"/>
        <v>0</v>
      </c>
      <c r="AF166" s="260">
        <f t="shared" si="24"/>
        <v>0</v>
      </c>
      <c r="AG166" s="260">
        <f t="shared" si="25"/>
        <v>0</v>
      </c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  <c r="IT166" s="13"/>
      <c r="IU166" s="13"/>
      <c r="IV166" s="13"/>
      <c r="IW166" s="13"/>
      <c r="IX166" s="13"/>
      <c r="IY166" s="13"/>
      <c r="IZ166" s="13"/>
      <c r="JA166" s="13"/>
      <c r="JB166" s="13"/>
      <c r="JC166" s="13"/>
      <c r="JD166" s="13"/>
      <c r="JE166" s="13"/>
      <c r="JF166" s="13"/>
      <c r="JG166" s="13"/>
      <c r="JH166" s="13"/>
      <c r="JI166" s="13"/>
      <c r="JJ166" s="13"/>
      <c r="JK166" s="13"/>
      <c r="JL166" s="13"/>
      <c r="JM166" s="13"/>
      <c r="JN166" s="13"/>
      <c r="JO166" s="13"/>
      <c r="JP166" s="13"/>
      <c r="JQ166" s="13"/>
      <c r="JR166" s="13"/>
      <c r="JS166" s="13"/>
      <c r="JT166" s="13"/>
      <c r="JU166" s="13"/>
      <c r="JV166" s="13"/>
      <c r="JW166" s="13"/>
      <c r="JX166" s="13"/>
      <c r="JY166" s="13"/>
      <c r="JZ166" s="13"/>
      <c r="KA166" s="13"/>
      <c r="KB166" s="13"/>
      <c r="KC166" s="13"/>
      <c r="KD166" s="13"/>
      <c r="KE166" s="13"/>
      <c r="KF166" s="13"/>
      <c r="KG166" s="13"/>
      <c r="KH166" s="13"/>
      <c r="KI166" s="13"/>
      <c r="KJ166" s="13"/>
      <c r="KK166" s="13"/>
      <c r="KL166" s="13"/>
      <c r="KM166" s="13"/>
      <c r="KN166" s="13"/>
      <c r="KO166" s="13"/>
      <c r="KP166" s="13"/>
      <c r="KQ166" s="13"/>
      <c r="KR166" s="13"/>
      <c r="KS166" s="13"/>
      <c r="KT166" s="13"/>
      <c r="KU166" s="13"/>
      <c r="KV166" s="13"/>
      <c r="KW166" s="13"/>
      <c r="KX166" s="13"/>
      <c r="KY166" s="13"/>
      <c r="KZ166" s="13"/>
      <c r="LA166" s="13"/>
      <c r="LB166" s="13"/>
      <c r="LC166" s="13"/>
      <c r="LD166" s="13"/>
      <c r="LE166" s="13"/>
      <c r="LF166" s="13"/>
      <c r="LG166" s="13"/>
      <c r="LH166" s="13"/>
      <c r="LI166" s="13"/>
      <c r="LJ166" s="13"/>
      <c r="LK166" s="13"/>
      <c r="LL166" s="13"/>
      <c r="LM166" s="13"/>
      <c r="LN166" s="13"/>
      <c r="LO166" s="13"/>
      <c r="LP166" s="13"/>
      <c r="LQ166" s="13"/>
      <c r="LR166" s="13"/>
      <c r="LS166" s="13"/>
      <c r="LT166" s="13"/>
      <c r="LU166" s="13"/>
      <c r="LV166" s="13"/>
      <c r="LW166" s="13"/>
      <c r="LX166" s="13"/>
      <c r="LY166" s="13"/>
      <c r="LZ166" s="13"/>
      <c r="MA166" s="13"/>
      <c r="MB166" s="13"/>
      <c r="MC166" s="13"/>
      <c r="MD166" s="13"/>
      <c r="ME166" s="13"/>
      <c r="MF166" s="13"/>
      <c r="MG166" s="13"/>
      <c r="MH166" s="13"/>
      <c r="MI166" s="13"/>
      <c r="MJ166" s="13"/>
      <c r="MK166" s="13"/>
      <c r="ML166" s="13"/>
      <c r="MM166" s="13"/>
      <c r="MN166" s="13"/>
      <c r="MO166" s="13"/>
      <c r="MP166" s="13"/>
      <c r="MQ166" s="13"/>
      <c r="MR166" s="13"/>
      <c r="MS166" s="13"/>
      <c r="MT166" s="13"/>
      <c r="MU166" s="13"/>
      <c r="MV166" s="13"/>
      <c r="MW166" s="13"/>
      <c r="MX166" s="13"/>
      <c r="MY166" s="13"/>
      <c r="MZ166" s="13"/>
      <c r="NA166" s="13"/>
      <c r="NB166" s="13"/>
      <c r="NC166" s="13"/>
      <c r="ND166" s="13"/>
      <c r="NE166" s="13"/>
      <c r="NF166" s="13"/>
      <c r="NG166" s="13"/>
      <c r="NH166" s="13"/>
      <c r="NI166" s="13"/>
      <c r="NJ166" s="13"/>
      <c r="NK166" s="13"/>
      <c r="NL166" s="13"/>
      <c r="NM166" s="13"/>
      <c r="NN166" s="13"/>
      <c r="NO166" s="13"/>
      <c r="NP166" s="13"/>
      <c r="NQ166" s="13"/>
      <c r="NR166" s="13"/>
      <c r="NS166" s="13"/>
      <c r="NT166" s="13"/>
      <c r="NU166" s="13"/>
      <c r="NV166" s="13"/>
      <c r="NW166" s="13"/>
      <c r="NX166" s="13"/>
      <c r="NY166" s="13"/>
      <c r="NZ166" s="13"/>
      <c r="OA166" s="13"/>
      <c r="OB166" s="13"/>
      <c r="OC166" s="13"/>
      <c r="OD166" s="13"/>
      <c r="OE166" s="13"/>
      <c r="OF166" s="13"/>
      <c r="OG166" s="13"/>
      <c r="OH166" s="13"/>
      <c r="OI166" s="13"/>
      <c r="OJ166" s="13"/>
      <c r="OK166" s="13"/>
      <c r="OL166" s="13"/>
      <c r="OM166" s="13"/>
      <c r="ON166" s="13"/>
      <c r="OO166" s="13"/>
      <c r="OP166" s="13"/>
      <c r="OQ166" s="13"/>
      <c r="OR166" s="13"/>
      <c r="OS166" s="13"/>
      <c r="OT166" s="13"/>
      <c r="OU166" s="13"/>
      <c r="OV166" s="13"/>
      <c r="OW166" s="13"/>
      <c r="OX166" s="13"/>
      <c r="OY166" s="13"/>
      <c r="OZ166" s="13"/>
      <c r="PA166" s="13"/>
      <c r="PB166" s="13"/>
      <c r="PC166" s="13"/>
      <c r="PD166" s="13"/>
      <c r="PE166" s="13"/>
      <c r="PF166" s="13"/>
      <c r="PG166" s="13"/>
      <c r="PH166" s="13"/>
      <c r="PI166" s="13"/>
      <c r="PJ166" s="13"/>
      <c r="PK166" s="13"/>
      <c r="PL166" s="13"/>
      <c r="PM166" s="13"/>
      <c r="PN166" s="13"/>
      <c r="PO166" s="13"/>
      <c r="PP166" s="13"/>
      <c r="PQ166" s="13"/>
      <c r="PR166" s="13"/>
      <c r="PS166" s="13"/>
      <c r="PT166" s="13"/>
      <c r="PU166" s="13"/>
      <c r="PV166" s="13"/>
      <c r="PW166" s="13"/>
      <c r="PX166" s="13"/>
      <c r="PY166" s="13"/>
      <c r="PZ166" s="13"/>
      <c r="QA166" s="13"/>
      <c r="QB166" s="13"/>
      <c r="QC166" s="13"/>
      <c r="QD166" s="13"/>
      <c r="QE166" s="13"/>
      <c r="QF166" s="13"/>
      <c r="QG166" s="13"/>
      <c r="QH166" s="13"/>
      <c r="QI166" s="13"/>
      <c r="QJ166" s="13"/>
      <c r="QK166" s="13"/>
      <c r="QL166" s="13"/>
      <c r="QM166" s="13"/>
      <c r="QN166" s="13"/>
      <c r="QO166" s="13"/>
      <c r="QP166" s="13"/>
      <c r="QQ166" s="13"/>
      <c r="QR166" s="13"/>
      <c r="QS166" s="13"/>
      <c r="QT166" s="13"/>
      <c r="QU166" s="13"/>
      <c r="QV166" s="13"/>
      <c r="QW166" s="13"/>
      <c r="QX166" s="13"/>
      <c r="QY166" s="13"/>
      <c r="QZ166" s="13"/>
      <c r="RA166" s="13"/>
      <c r="RB166" s="13"/>
      <c r="RC166" s="13"/>
      <c r="RD166" s="13"/>
      <c r="RE166" s="13"/>
      <c r="RF166" s="13"/>
      <c r="RG166" s="13"/>
      <c r="RH166" s="13"/>
      <c r="RI166" s="13"/>
      <c r="RJ166" s="13"/>
      <c r="RK166" s="13"/>
      <c r="RL166" s="13"/>
      <c r="RM166" s="13"/>
      <c r="RN166" s="13"/>
      <c r="RO166" s="13"/>
      <c r="RP166" s="13"/>
      <c r="RQ166" s="13"/>
      <c r="RR166" s="13"/>
      <c r="RS166" s="13"/>
      <c r="RT166" s="13"/>
      <c r="RU166" s="13"/>
      <c r="RV166" s="13"/>
      <c r="RW166" s="13"/>
      <c r="RX166" s="13"/>
      <c r="RY166" s="13"/>
      <c r="RZ166" s="13"/>
      <c r="SA166" s="13"/>
      <c r="SB166" s="13"/>
      <c r="SC166" s="13"/>
      <c r="SD166" s="13"/>
      <c r="SE166" s="13"/>
      <c r="SF166" s="13"/>
      <c r="SG166" s="13"/>
      <c r="SH166" s="13"/>
      <c r="SI166" s="13"/>
      <c r="SJ166" s="13"/>
      <c r="SK166" s="13"/>
      <c r="SL166" s="13"/>
      <c r="SM166" s="13"/>
      <c r="SN166" s="13"/>
      <c r="SO166" s="13"/>
      <c r="SP166" s="13"/>
      <c r="SQ166" s="13"/>
      <c r="SR166" s="13"/>
      <c r="SS166" s="13"/>
      <c r="ST166" s="13"/>
      <c r="SU166" s="13"/>
      <c r="SV166" s="13"/>
      <c r="SW166" s="13"/>
      <c r="SX166" s="13"/>
      <c r="SY166" s="13"/>
      <c r="SZ166" s="13"/>
      <c r="TA166" s="13"/>
      <c r="TB166" s="13"/>
      <c r="TC166" s="13"/>
      <c r="TD166" s="13"/>
      <c r="TE166" s="13"/>
      <c r="TF166" s="13"/>
      <c r="TG166" s="13"/>
      <c r="TH166" s="13"/>
      <c r="TI166" s="13"/>
      <c r="TJ166" s="13"/>
      <c r="TK166" s="13"/>
      <c r="TL166" s="13"/>
      <c r="TM166" s="13"/>
      <c r="TN166" s="13"/>
      <c r="TO166" s="13"/>
      <c r="TP166" s="13"/>
      <c r="TQ166" s="13"/>
      <c r="TR166" s="13"/>
      <c r="TS166" s="13"/>
      <c r="TT166" s="13"/>
      <c r="TU166" s="13"/>
      <c r="TV166" s="13"/>
      <c r="TW166" s="13"/>
      <c r="TX166" s="13"/>
      <c r="TY166" s="13"/>
      <c r="TZ166" s="13"/>
      <c r="UA166" s="13"/>
      <c r="UB166" s="13"/>
      <c r="UC166" s="13"/>
      <c r="UD166" s="13"/>
      <c r="UE166" s="13"/>
      <c r="UF166" s="13"/>
      <c r="UG166" s="13"/>
      <c r="UH166" s="13"/>
      <c r="UI166" s="13"/>
      <c r="UJ166" s="13"/>
      <c r="UK166" s="13"/>
      <c r="UL166" s="13"/>
      <c r="UM166" s="13"/>
      <c r="UN166" s="13"/>
      <c r="UO166" s="13"/>
      <c r="UP166" s="13"/>
      <c r="UQ166" s="13"/>
      <c r="UR166" s="13"/>
      <c r="US166" s="13"/>
      <c r="UT166" s="13"/>
      <c r="UU166" s="13"/>
      <c r="UV166" s="13"/>
      <c r="UW166" s="13"/>
      <c r="UX166" s="13"/>
      <c r="UY166" s="13"/>
      <c r="UZ166" s="13"/>
      <c r="VA166" s="13"/>
      <c r="VB166" s="13"/>
      <c r="VC166" s="13"/>
      <c r="VD166" s="13"/>
      <c r="VE166" s="13"/>
      <c r="VF166" s="13"/>
      <c r="VG166" s="13"/>
      <c r="VH166" s="13"/>
      <c r="VI166" s="13"/>
      <c r="VJ166" s="13"/>
      <c r="VK166" s="13"/>
      <c r="VL166" s="13"/>
      <c r="VM166" s="13"/>
      <c r="VN166" s="13"/>
      <c r="VO166" s="13"/>
      <c r="VP166" s="13"/>
      <c r="VQ166" s="13"/>
      <c r="VR166" s="13"/>
      <c r="VS166" s="13"/>
      <c r="VT166" s="13"/>
    </row>
    <row r="167" spans="1:592" s="13" customFormat="1" ht="63" x14ac:dyDescent="0.2">
      <c r="A167" s="10" t="s">
        <v>415</v>
      </c>
      <c r="B167" s="15" t="s">
        <v>416</v>
      </c>
      <c r="C167" s="11" t="s">
        <v>324</v>
      </c>
      <c r="D167" s="11">
        <v>3682159</v>
      </c>
      <c r="E167" s="225" t="s">
        <v>414</v>
      </c>
      <c r="F167" s="192" t="s">
        <v>278</v>
      </c>
      <c r="G167" s="201">
        <f>IFERROR(VLOOKUP(D167,List1!$A$5:$B$227,2,FALSE),"0")</f>
        <v>709000</v>
      </c>
      <c r="H167" s="41" t="str">
        <f>IFERROR(VLOOKUP(D167,List1!$D$5:$E$41,2,FALSE),"0")</f>
        <v>0</v>
      </c>
      <c r="I167" s="41" t="str">
        <f>IFERROR(VLOOKUP(D167,List1!$G$5:$H$227,2,FALSE),"0")</f>
        <v>0</v>
      </c>
      <c r="J167" s="40">
        <f t="shared" si="18"/>
        <v>709000</v>
      </c>
      <c r="K167" s="41" t="str">
        <f>IFERROR(VLOOKUP(D167,List1!$J$5:$K$227,2,FALSE),"0")</f>
        <v>0</v>
      </c>
      <c r="L167" s="41" t="str">
        <f>IFERROR(VLOOKUP(D167,List1!$M$5:$N$112,2,FALSE),"0")</f>
        <v>0</v>
      </c>
      <c r="M167" s="43">
        <v>0</v>
      </c>
      <c r="N167" s="80">
        <f>VLOOKUP($D$5:$D$251,List2!$A$2:$B$241,2,FALSE)</f>
        <v>0</v>
      </c>
      <c r="O167" s="80">
        <f>IFERROR(VLOOKUP($D$5:$D$260,List1!$Y$5:$Z$244,2,FALSE),0)</f>
        <v>0</v>
      </c>
      <c r="P167" s="202">
        <f>IFERROR(VLOOKUP($D$5:$D$260,List1!$AB$5:$AC$244,2,FALSE),0)</f>
        <v>0</v>
      </c>
      <c r="Q167" s="201">
        <f>IFERROR(VLOOKUP($D$5:$D$260,List1!$S$5:$T$231,2,FALSE),0)</f>
        <v>545641</v>
      </c>
      <c r="R167" s="41">
        <v>0</v>
      </c>
      <c r="S167" s="41">
        <f>IFERROR(VLOOKUP($D$5:$D$260,List1!$AE$5:$AF$231,2,FALSE),0)</f>
        <v>164759</v>
      </c>
      <c r="T167" s="41">
        <f t="shared" si="19"/>
        <v>710400</v>
      </c>
      <c r="U167" s="41" t="str">
        <f>IFERROR(VLOOKUP(D167,List1!$P$5:$Q$110,2,FALSE),"0")</f>
        <v>0</v>
      </c>
      <c r="V167" s="41">
        <v>0</v>
      </c>
      <c r="W167" s="248">
        <v>0</v>
      </c>
      <c r="X167" s="211">
        <f t="shared" si="20"/>
        <v>710400</v>
      </c>
      <c r="Y167" s="219"/>
      <c r="Z167" s="80">
        <f>IFERROR(VLOOKUP($D$5:$D$260,#REF!,3,FALSE),0)</f>
        <v>0</v>
      </c>
      <c r="AA167" s="80">
        <f>IFERROR(VLOOKUP($D$5:$D$260,#REF!,3,FALSE),0)</f>
        <v>0</v>
      </c>
      <c r="AB167" s="243">
        <v>0</v>
      </c>
      <c r="AC167" s="202">
        <f t="shared" si="21"/>
        <v>0</v>
      </c>
      <c r="AD167" s="259">
        <f t="shared" si="22"/>
        <v>0</v>
      </c>
      <c r="AE167" s="260">
        <f t="shared" si="23"/>
        <v>0</v>
      </c>
      <c r="AF167" s="260">
        <f t="shared" si="24"/>
        <v>0</v>
      </c>
      <c r="AG167" s="260">
        <f t="shared" si="25"/>
        <v>0</v>
      </c>
    </row>
    <row r="168" spans="1:592" s="13" customFormat="1" ht="42" x14ac:dyDescent="0.2">
      <c r="A168" s="10" t="s">
        <v>417</v>
      </c>
      <c r="B168" s="11">
        <v>27283518</v>
      </c>
      <c r="C168" s="11" t="s">
        <v>282</v>
      </c>
      <c r="D168" s="11">
        <v>4501907</v>
      </c>
      <c r="E168" s="225" t="s">
        <v>414</v>
      </c>
      <c r="F168" s="192" t="s">
        <v>278</v>
      </c>
      <c r="G168" s="201">
        <f>IFERROR(VLOOKUP(D168,List1!$A$5:$B$227,2,FALSE),"0")</f>
        <v>500000</v>
      </c>
      <c r="H168" s="41" t="str">
        <f>IFERROR(VLOOKUP(D168,List1!$D$5:$E$41,2,FALSE),"0")</f>
        <v>0</v>
      </c>
      <c r="I168" s="41">
        <f>IFERROR(VLOOKUP(D168,List1!$G$5:$H$227,2,FALSE),"0")</f>
        <v>150000</v>
      </c>
      <c r="J168" s="40">
        <f t="shared" si="18"/>
        <v>650000</v>
      </c>
      <c r="K168" s="41" t="str">
        <f>IFERROR(VLOOKUP(D168,List1!$J$5:$K$227,2,FALSE),"0")</f>
        <v>0</v>
      </c>
      <c r="L168" s="41">
        <f>IFERROR(VLOOKUP(D168,List1!$M$5:$N$112,2,FALSE),"0")</f>
        <v>4000</v>
      </c>
      <c r="M168" s="43">
        <v>0</v>
      </c>
      <c r="N168" s="80">
        <f>VLOOKUP($D$5:$D$251,List2!$A$2:$B$241,2,FALSE)</f>
        <v>0</v>
      </c>
      <c r="O168" s="80">
        <f>IFERROR(VLOOKUP($D$5:$D$260,List1!$Y$5:$Z$244,2,FALSE),0)</f>
        <v>0</v>
      </c>
      <c r="P168" s="202">
        <f>IFERROR(VLOOKUP($D$5:$D$260,List1!$AB$5:$AC$244,2,FALSE),0)</f>
        <v>0</v>
      </c>
      <c r="Q168" s="201">
        <f>IFERROR(VLOOKUP($D$5:$D$260,List1!$S$5:$T$231,2,FALSE),0)</f>
        <v>384038</v>
      </c>
      <c r="R168" s="41">
        <v>0</v>
      </c>
      <c r="S168" s="41">
        <f>IFERROR(VLOOKUP($D$5:$D$260,List1!$AE$5:$AF$231,2,FALSE),0)</f>
        <v>96922</v>
      </c>
      <c r="T168" s="41">
        <f t="shared" si="19"/>
        <v>480960</v>
      </c>
      <c r="U168" s="41" t="str">
        <f>IFERROR(VLOOKUP(D168,List1!$P$5:$Q$110,2,FALSE),"0")</f>
        <v>0</v>
      </c>
      <c r="V168" s="41">
        <v>0</v>
      </c>
      <c r="W168" s="248">
        <v>0</v>
      </c>
      <c r="X168" s="211">
        <f t="shared" si="20"/>
        <v>480960</v>
      </c>
      <c r="Y168" s="219"/>
      <c r="Z168" s="80">
        <f>IFERROR(VLOOKUP($D$5:$D$260,#REF!,3,FALSE),0)</f>
        <v>0</v>
      </c>
      <c r="AA168" s="80">
        <f>IFERROR(VLOOKUP($D$5:$D$260,#REF!,3,FALSE),0)</f>
        <v>0</v>
      </c>
      <c r="AB168" s="243">
        <v>0</v>
      </c>
      <c r="AC168" s="202">
        <f t="shared" si="21"/>
        <v>0</v>
      </c>
      <c r="AD168" s="259">
        <f t="shared" si="22"/>
        <v>0</v>
      </c>
      <c r="AE168" s="260">
        <f t="shared" si="23"/>
        <v>0</v>
      </c>
      <c r="AF168" s="260">
        <f t="shared" si="24"/>
        <v>0</v>
      </c>
      <c r="AG168" s="260">
        <f t="shared" si="25"/>
        <v>0</v>
      </c>
    </row>
    <row r="169" spans="1:592" s="13" customFormat="1" ht="21" x14ac:dyDescent="0.2">
      <c r="A169" s="10" t="s">
        <v>136</v>
      </c>
      <c r="B169" s="11">
        <v>26636328</v>
      </c>
      <c r="C169" s="11" t="s">
        <v>288</v>
      </c>
      <c r="D169" s="11">
        <v>8791447</v>
      </c>
      <c r="E169" s="12" t="s">
        <v>268</v>
      </c>
      <c r="F169" s="192" t="s">
        <v>300</v>
      </c>
      <c r="G169" s="201">
        <f>IFERROR(VLOOKUP(D169,List1!$A$5:$B$227,2,FALSE),"0")</f>
        <v>600000</v>
      </c>
      <c r="H169" s="41" t="str">
        <f>IFERROR(VLOOKUP(D169,List1!$D$5:$E$41,2,FALSE),"0")</f>
        <v>0</v>
      </c>
      <c r="I169" s="41">
        <f>IFERROR(VLOOKUP(D169,List1!$G$5:$H$227,2,FALSE),"0")</f>
        <v>145141</v>
      </c>
      <c r="J169" s="40">
        <f t="shared" si="18"/>
        <v>745141</v>
      </c>
      <c r="K169" s="41">
        <f>IFERROR(VLOOKUP(D169,List1!$J$5:$K$227,2,FALSE),"0")</f>
        <v>26000</v>
      </c>
      <c r="L169" s="41">
        <f>IFERROR(VLOOKUP(D169,List1!$M$5:$N$112,2,FALSE),"0")</f>
        <v>11000</v>
      </c>
      <c r="M169" s="43">
        <v>0</v>
      </c>
      <c r="N169" s="80">
        <f>VLOOKUP($D$5:$D$251,List2!$A$2:$B$241,2,FALSE)</f>
        <v>40396</v>
      </c>
      <c r="O169" s="80">
        <f>IFERROR(VLOOKUP($D$5:$D$260,List1!$Y$5:$Z$244,2,FALSE),0)</f>
        <v>37000</v>
      </c>
      <c r="P169" s="202">
        <f>IFERROR(VLOOKUP($D$5:$D$260,List1!$AB$5:$AC$244,2,FALSE),0)</f>
        <v>0</v>
      </c>
      <c r="Q169" s="201">
        <f>IFERROR(VLOOKUP($D$5:$D$260,List1!$S$5:$T$231,2,FALSE),0)</f>
        <v>497713</v>
      </c>
      <c r="R169" s="41">
        <v>0</v>
      </c>
      <c r="S169" s="41">
        <f>IFERROR(VLOOKUP($D$5:$D$260,List1!$AE$5:$AF$231,2,FALSE),0)</f>
        <v>150000</v>
      </c>
      <c r="T169" s="41">
        <f t="shared" si="19"/>
        <v>647713</v>
      </c>
      <c r="U169" s="41">
        <f>IFERROR(VLOOKUP(D169,List1!$P$5:$Q$110,2,FALSE),"0")</f>
        <v>70000</v>
      </c>
      <c r="V169" s="41">
        <v>0</v>
      </c>
      <c r="W169" s="248">
        <v>0</v>
      </c>
      <c r="X169" s="211">
        <f t="shared" si="20"/>
        <v>717713</v>
      </c>
      <c r="Y169" s="219"/>
      <c r="Z169" s="80">
        <f>IFERROR(VLOOKUP($D$5:$D$260,#REF!,3,FALSE),0)</f>
        <v>0</v>
      </c>
      <c r="AA169" s="80">
        <f>IFERROR(VLOOKUP($D$5:$D$260,#REF!,3,FALSE),0)</f>
        <v>0</v>
      </c>
      <c r="AB169" s="243">
        <v>0</v>
      </c>
      <c r="AC169" s="202">
        <f t="shared" si="21"/>
        <v>0</v>
      </c>
      <c r="AD169" s="259">
        <f t="shared" si="22"/>
        <v>-70000</v>
      </c>
      <c r="AE169" s="260">
        <f t="shared" si="23"/>
        <v>-1</v>
      </c>
      <c r="AF169" s="260">
        <f t="shared" si="24"/>
        <v>-1</v>
      </c>
      <c r="AG169" s="260">
        <f t="shared" si="25"/>
        <v>-1</v>
      </c>
    </row>
    <row r="170" spans="1:592" s="25" customFormat="1" ht="21" x14ac:dyDescent="0.2">
      <c r="A170" s="10" t="s">
        <v>136</v>
      </c>
      <c r="B170" s="11">
        <v>26636328</v>
      </c>
      <c r="C170" s="11" t="s">
        <v>288</v>
      </c>
      <c r="D170" s="11">
        <v>6374958</v>
      </c>
      <c r="E170" s="228" t="s">
        <v>314</v>
      </c>
      <c r="F170" s="192" t="s">
        <v>300</v>
      </c>
      <c r="G170" s="201">
        <f>IFERROR(VLOOKUP(D170,List1!$A$5:$B$227,2,FALSE),"0")</f>
        <v>983000</v>
      </c>
      <c r="H170" s="41" t="str">
        <f>IFERROR(VLOOKUP(D170,List1!$D$5:$E$41,2,FALSE),"0")</f>
        <v>0</v>
      </c>
      <c r="I170" s="41">
        <f>IFERROR(VLOOKUP(D170,List1!$G$5:$H$227,2,FALSE),"0")</f>
        <v>197583</v>
      </c>
      <c r="J170" s="40">
        <f t="shared" si="18"/>
        <v>1180583</v>
      </c>
      <c r="K170" s="41">
        <f>IFERROR(VLOOKUP(D170,List1!$J$5:$K$227,2,FALSE),"0")</f>
        <v>43000</v>
      </c>
      <c r="L170" s="41">
        <f>IFERROR(VLOOKUP(D170,List1!$M$5:$N$112,2,FALSE),"0")</f>
        <v>18000</v>
      </c>
      <c r="M170" s="43">
        <v>0</v>
      </c>
      <c r="N170" s="80">
        <f>VLOOKUP($D$5:$D$251,List2!$A$2:$B$241,2,FALSE)</f>
        <v>73455</v>
      </c>
      <c r="O170" s="80">
        <f>IFERROR(VLOOKUP($D$5:$D$260,List1!$Y$5:$Z$244,2,FALSE),0)</f>
        <v>61000</v>
      </c>
      <c r="P170" s="202">
        <f>IFERROR(VLOOKUP($D$5:$D$260,List1!$AB$5:$AC$244,2,FALSE),0)</f>
        <v>0</v>
      </c>
      <c r="Q170" s="201">
        <f>IFERROR(VLOOKUP($D$5:$D$260,List1!$S$5:$T$231,2,FALSE),0)</f>
        <v>940125</v>
      </c>
      <c r="R170" s="41">
        <v>0</v>
      </c>
      <c r="S170" s="41">
        <f>IFERROR(VLOOKUP($D$5:$D$260,List1!$AE$5:$AF$231,2,FALSE),0)</f>
        <v>250000</v>
      </c>
      <c r="T170" s="41">
        <f t="shared" si="19"/>
        <v>1190125</v>
      </c>
      <c r="U170" s="41">
        <f>IFERROR(VLOOKUP(D170,List1!$P$5:$Q$110,2,FALSE),"0")</f>
        <v>116000</v>
      </c>
      <c r="V170" s="41">
        <v>0</v>
      </c>
      <c r="W170" s="248">
        <v>0</v>
      </c>
      <c r="X170" s="211">
        <f t="shared" si="20"/>
        <v>1306125</v>
      </c>
      <c r="Y170" s="219"/>
      <c r="Z170" s="80">
        <f>IFERROR(VLOOKUP($D$5:$D$260,#REF!,3,FALSE),0)</f>
        <v>0</v>
      </c>
      <c r="AA170" s="80">
        <f>IFERROR(VLOOKUP($D$5:$D$260,#REF!,3,FALSE),0)</f>
        <v>0</v>
      </c>
      <c r="AB170" s="243">
        <v>0</v>
      </c>
      <c r="AC170" s="202">
        <f t="shared" si="21"/>
        <v>0</v>
      </c>
      <c r="AD170" s="259">
        <f t="shared" si="22"/>
        <v>-116000</v>
      </c>
      <c r="AE170" s="260">
        <f t="shared" si="23"/>
        <v>-1</v>
      </c>
      <c r="AF170" s="260">
        <f t="shared" si="24"/>
        <v>-1</v>
      </c>
      <c r="AG170" s="260">
        <f t="shared" si="25"/>
        <v>-1</v>
      </c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  <c r="IT170" s="13"/>
      <c r="IU170" s="13"/>
      <c r="IV170" s="13"/>
      <c r="IW170" s="13"/>
      <c r="IX170" s="13"/>
      <c r="IY170" s="13"/>
      <c r="IZ170" s="13"/>
      <c r="JA170" s="13"/>
      <c r="JB170" s="13"/>
      <c r="JC170" s="13"/>
      <c r="JD170" s="13"/>
      <c r="JE170" s="13"/>
      <c r="JF170" s="13"/>
      <c r="JG170" s="13"/>
      <c r="JH170" s="13"/>
      <c r="JI170" s="13"/>
      <c r="JJ170" s="13"/>
      <c r="JK170" s="13"/>
      <c r="JL170" s="13"/>
      <c r="JM170" s="13"/>
      <c r="JN170" s="13"/>
      <c r="JO170" s="13"/>
      <c r="JP170" s="13"/>
      <c r="JQ170" s="13"/>
      <c r="JR170" s="13"/>
      <c r="JS170" s="13"/>
      <c r="JT170" s="13"/>
      <c r="JU170" s="13"/>
      <c r="JV170" s="13"/>
      <c r="JW170" s="13"/>
      <c r="JX170" s="13"/>
      <c r="JY170" s="13"/>
      <c r="JZ170" s="13"/>
      <c r="KA170" s="13"/>
      <c r="KB170" s="13"/>
      <c r="KC170" s="13"/>
      <c r="KD170" s="13"/>
      <c r="KE170" s="13"/>
      <c r="KF170" s="13"/>
      <c r="KG170" s="13"/>
      <c r="KH170" s="13"/>
      <c r="KI170" s="13"/>
      <c r="KJ170" s="13"/>
      <c r="KK170" s="13"/>
      <c r="KL170" s="13"/>
      <c r="KM170" s="13"/>
      <c r="KN170" s="13"/>
      <c r="KO170" s="13"/>
      <c r="KP170" s="13"/>
      <c r="KQ170" s="13"/>
      <c r="KR170" s="13"/>
      <c r="KS170" s="13"/>
      <c r="KT170" s="13"/>
      <c r="KU170" s="13"/>
      <c r="KV170" s="13"/>
      <c r="KW170" s="13"/>
      <c r="KX170" s="13"/>
      <c r="KY170" s="13"/>
      <c r="KZ170" s="13"/>
      <c r="LA170" s="13"/>
      <c r="LB170" s="13"/>
      <c r="LC170" s="13"/>
      <c r="LD170" s="13"/>
      <c r="LE170" s="13"/>
      <c r="LF170" s="13"/>
      <c r="LG170" s="13"/>
      <c r="LH170" s="13"/>
      <c r="LI170" s="13"/>
      <c r="LJ170" s="13"/>
      <c r="LK170" s="13"/>
      <c r="LL170" s="13"/>
      <c r="LM170" s="13"/>
      <c r="LN170" s="13"/>
      <c r="LO170" s="13"/>
      <c r="LP170" s="13"/>
      <c r="LQ170" s="13"/>
      <c r="LR170" s="13"/>
      <c r="LS170" s="13"/>
      <c r="LT170" s="13"/>
      <c r="LU170" s="13"/>
      <c r="LV170" s="13"/>
      <c r="LW170" s="13"/>
      <c r="LX170" s="13"/>
      <c r="LY170" s="13"/>
      <c r="LZ170" s="13"/>
      <c r="MA170" s="13"/>
      <c r="MB170" s="13"/>
      <c r="MC170" s="13"/>
      <c r="MD170" s="13"/>
      <c r="ME170" s="13"/>
      <c r="MF170" s="13"/>
      <c r="MG170" s="13"/>
      <c r="MH170" s="13"/>
      <c r="MI170" s="13"/>
      <c r="MJ170" s="13"/>
      <c r="MK170" s="13"/>
      <c r="ML170" s="13"/>
      <c r="MM170" s="13"/>
      <c r="MN170" s="13"/>
      <c r="MO170" s="13"/>
      <c r="MP170" s="13"/>
      <c r="MQ170" s="13"/>
      <c r="MR170" s="13"/>
      <c r="MS170" s="13"/>
      <c r="MT170" s="13"/>
      <c r="MU170" s="13"/>
      <c r="MV170" s="13"/>
      <c r="MW170" s="13"/>
      <c r="MX170" s="13"/>
      <c r="MY170" s="13"/>
      <c r="MZ170" s="13"/>
      <c r="NA170" s="13"/>
      <c r="NB170" s="13"/>
      <c r="NC170" s="13"/>
      <c r="ND170" s="13"/>
      <c r="NE170" s="13"/>
      <c r="NF170" s="13"/>
      <c r="NG170" s="13"/>
      <c r="NH170" s="13"/>
      <c r="NI170" s="13"/>
      <c r="NJ170" s="13"/>
      <c r="NK170" s="13"/>
      <c r="NL170" s="13"/>
      <c r="NM170" s="13"/>
      <c r="NN170" s="13"/>
      <c r="NO170" s="13"/>
      <c r="NP170" s="13"/>
      <c r="NQ170" s="13"/>
      <c r="NR170" s="13"/>
      <c r="NS170" s="13"/>
      <c r="NT170" s="13"/>
      <c r="NU170" s="13"/>
      <c r="NV170" s="13"/>
      <c r="NW170" s="13"/>
      <c r="NX170" s="13"/>
      <c r="NY170" s="13"/>
      <c r="NZ170" s="13"/>
      <c r="OA170" s="13"/>
      <c r="OB170" s="13"/>
      <c r="OC170" s="13"/>
      <c r="OD170" s="13"/>
      <c r="OE170" s="13"/>
      <c r="OF170" s="13"/>
      <c r="OG170" s="13"/>
      <c r="OH170" s="13"/>
      <c r="OI170" s="13"/>
      <c r="OJ170" s="13"/>
      <c r="OK170" s="13"/>
      <c r="OL170" s="13"/>
      <c r="OM170" s="13"/>
      <c r="ON170" s="13"/>
      <c r="OO170" s="13"/>
      <c r="OP170" s="13"/>
      <c r="OQ170" s="13"/>
      <c r="OR170" s="13"/>
      <c r="OS170" s="13"/>
      <c r="OT170" s="13"/>
      <c r="OU170" s="13"/>
      <c r="OV170" s="13"/>
      <c r="OW170" s="13"/>
      <c r="OX170" s="13"/>
      <c r="OY170" s="13"/>
      <c r="OZ170" s="13"/>
      <c r="PA170" s="13"/>
      <c r="PB170" s="13"/>
      <c r="PC170" s="13"/>
      <c r="PD170" s="13"/>
      <c r="PE170" s="13"/>
      <c r="PF170" s="13"/>
      <c r="PG170" s="13"/>
      <c r="PH170" s="13"/>
      <c r="PI170" s="13"/>
      <c r="PJ170" s="13"/>
      <c r="PK170" s="13"/>
      <c r="PL170" s="13"/>
      <c r="PM170" s="13"/>
      <c r="PN170" s="13"/>
      <c r="PO170" s="13"/>
      <c r="PP170" s="13"/>
      <c r="PQ170" s="13"/>
      <c r="PR170" s="13"/>
      <c r="PS170" s="13"/>
      <c r="PT170" s="13"/>
      <c r="PU170" s="13"/>
      <c r="PV170" s="13"/>
      <c r="PW170" s="13"/>
      <c r="PX170" s="13"/>
      <c r="PY170" s="13"/>
      <c r="PZ170" s="13"/>
      <c r="QA170" s="13"/>
      <c r="QB170" s="13"/>
      <c r="QC170" s="13"/>
      <c r="QD170" s="13"/>
      <c r="QE170" s="13"/>
      <c r="QF170" s="13"/>
      <c r="QG170" s="13"/>
      <c r="QH170" s="13"/>
      <c r="QI170" s="13"/>
      <c r="QJ170" s="13"/>
      <c r="QK170" s="13"/>
      <c r="QL170" s="13"/>
      <c r="QM170" s="13"/>
      <c r="QN170" s="13"/>
      <c r="QO170" s="13"/>
      <c r="QP170" s="13"/>
      <c r="QQ170" s="13"/>
      <c r="QR170" s="13"/>
      <c r="QS170" s="13"/>
      <c r="QT170" s="13"/>
      <c r="QU170" s="13"/>
      <c r="QV170" s="13"/>
      <c r="QW170" s="13"/>
      <c r="QX170" s="13"/>
      <c r="QY170" s="13"/>
      <c r="QZ170" s="13"/>
      <c r="RA170" s="13"/>
      <c r="RB170" s="13"/>
      <c r="RC170" s="13"/>
      <c r="RD170" s="13"/>
      <c r="RE170" s="13"/>
      <c r="RF170" s="13"/>
      <c r="RG170" s="13"/>
      <c r="RH170" s="13"/>
      <c r="RI170" s="13"/>
      <c r="RJ170" s="13"/>
      <c r="RK170" s="13"/>
      <c r="RL170" s="13"/>
      <c r="RM170" s="13"/>
      <c r="RN170" s="13"/>
      <c r="RO170" s="13"/>
      <c r="RP170" s="13"/>
      <c r="RQ170" s="13"/>
      <c r="RR170" s="13"/>
      <c r="RS170" s="13"/>
      <c r="RT170" s="13"/>
      <c r="RU170" s="13"/>
      <c r="RV170" s="13"/>
      <c r="RW170" s="13"/>
      <c r="RX170" s="13"/>
      <c r="RY170" s="13"/>
      <c r="RZ170" s="13"/>
      <c r="SA170" s="13"/>
      <c r="SB170" s="13"/>
      <c r="SC170" s="13"/>
      <c r="SD170" s="13"/>
      <c r="SE170" s="13"/>
      <c r="SF170" s="13"/>
      <c r="SG170" s="13"/>
      <c r="SH170" s="13"/>
      <c r="SI170" s="13"/>
      <c r="SJ170" s="13"/>
      <c r="SK170" s="13"/>
      <c r="SL170" s="13"/>
      <c r="SM170" s="13"/>
      <c r="SN170" s="13"/>
      <c r="SO170" s="13"/>
      <c r="SP170" s="13"/>
      <c r="SQ170" s="13"/>
      <c r="SR170" s="13"/>
      <c r="SS170" s="13"/>
      <c r="ST170" s="13"/>
      <c r="SU170" s="13"/>
      <c r="SV170" s="13"/>
      <c r="SW170" s="13"/>
      <c r="SX170" s="13"/>
      <c r="SY170" s="13"/>
      <c r="SZ170" s="13"/>
      <c r="TA170" s="13"/>
      <c r="TB170" s="13"/>
      <c r="TC170" s="13"/>
      <c r="TD170" s="13"/>
      <c r="TE170" s="13"/>
      <c r="TF170" s="13"/>
      <c r="TG170" s="13"/>
      <c r="TH170" s="13"/>
      <c r="TI170" s="13"/>
      <c r="TJ170" s="13"/>
      <c r="TK170" s="13"/>
      <c r="TL170" s="13"/>
      <c r="TM170" s="13"/>
      <c r="TN170" s="13"/>
      <c r="TO170" s="13"/>
      <c r="TP170" s="13"/>
      <c r="TQ170" s="13"/>
      <c r="TR170" s="13"/>
      <c r="TS170" s="13"/>
      <c r="TT170" s="13"/>
      <c r="TU170" s="13"/>
      <c r="TV170" s="13"/>
      <c r="TW170" s="13"/>
      <c r="TX170" s="13"/>
      <c r="TY170" s="13"/>
      <c r="TZ170" s="13"/>
      <c r="UA170" s="13"/>
      <c r="UB170" s="13"/>
      <c r="UC170" s="13"/>
      <c r="UD170" s="13"/>
      <c r="UE170" s="13"/>
      <c r="UF170" s="13"/>
      <c r="UG170" s="13"/>
      <c r="UH170" s="13"/>
      <c r="UI170" s="13"/>
      <c r="UJ170" s="13"/>
      <c r="UK170" s="13"/>
      <c r="UL170" s="13"/>
      <c r="UM170" s="13"/>
      <c r="UN170" s="13"/>
      <c r="UO170" s="13"/>
      <c r="UP170" s="13"/>
      <c r="UQ170" s="13"/>
      <c r="UR170" s="13"/>
      <c r="US170" s="13"/>
      <c r="UT170" s="13"/>
      <c r="UU170" s="13"/>
      <c r="UV170" s="13"/>
      <c r="UW170" s="13"/>
      <c r="UX170" s="13"/>
      <c r="UY170" s="13"/>
      <c r="UZ170" s="13"/>
      <c r="VA170" s="13"/>
      <c r="VB170" s="13"/>
      <c r="VC170" s="13"/>
      <c r="VD170" s="13"/>
      <c r="VE170" s="13"/>
      <c r="VF170" s="13"/>
      <c r="VG170" s="13"/>
      <c r="VH170" s="13"/>
      <c r="VI170" s="13"/>
      <c r="VJ170" s="13"/>
      <c r="VK170" s="13"/>
      <c r="VL170" s="13"/>
      <c r="VM170" s="13"/>
      <c r="VN170" s="13"/>
      <c r="VO170" s="13"/>
      <c r="VP170" s="13"/>
      <c r="VQ170" s="13"/>
      <c r="VR170" s="13"/>
      <c r="VS170" s="13"/>
      <c r="VT170" s="13"/>
    </row>
    <row r="171" spans="1:592" s="13" customFormat="1" ht="21" x14ac:dyDescent="0.2">
      <c r="A171" s="10" t="s">
        <v>136</v>
      </c>
      <c r="B171" s="11">
        <v>26636328</v>
      </c>
      <c r="C171" s="11" t="s">
        <v>288</v>
      </c>
      <c r="D171" s="11">
        <v>3910140</v>
      </c>
      <c r="E171" s="228" t="s">
        <v>314</v>
      </c>
      <c r="F171" s="192" t="s">
        <v>300</v>
      </c>
      <c r="G171" s="201">
        <f>IFERROR(VLOOKUP(D171,List1!$A$5:$B$227,2,FALSE),"0")</f>
        <v>2458000</v>
      </c>
      <c r="H171" s="41" t="str">
        <f>IFERROR(VLOOKUP(D171,List1!$D$5:$E$41,2,FALSE),"0")</f>
        <v>0</v>
      </c>
      <c r="I171" s="41">
        <f>IFERROR(VLOOKUP(D171,List1!$G$5:$H$227,2,FALSE),"0")</f>
        <v>493958</v>
      </c>
      <c r="J171" s="40">
        <f t="shared" si="18"/>
        <v>2951958</v>
      </c>
      <c r="K171" s="41">
        <f>IFERROR(VLOOKUP(D171,List1!$J$5:$K$227,2,FALSE),"0")</f>
        <v>107000</v>
      </c>
      <c r="L171" s="41">
        <f>IFERROR(VLOOKUP(D171,List1!$M$5:$N$112,2,FALSE),"0")</f>
        <v>45000</v>
      </c>
      <c r="M171" s="43">
        <v>0</v>
      </c>
      <c r="N171" s="80">
        <f>VLOOKUP($D$5:$D$251,List2!$A$2:$B$241,2,FALSE)</f>
        <v>110000</v>
      </c>
      <c r="O171" s="80">
        <f>IFERROR(VLOOKUP($D$5:$D$260,List1!$Y$5:$Z$244,2,FALSE),0)</f>
        <v>0</v>
      </c>
      <c r="P171" s="202">
        <f>IFERROR(VLOOKUP($D$5:$D$260,List1!$AB$5:$AC$244,2,FALSE),0)</f>
        <v>0</v>
      </c>
      <c r="Q171" s="201">
        <f>IFERROR(VLOOKUP($D$5:$D$260,List1!$S$5:$T$231,2,FALSE),0)</f>
        <v>2350313</v>
      </c>
      <c r="R171" s="41">
        <v>0</v>
      </c>
      <c r="S171" s="41">
        <f>IFERROR(VLOOKUP($D$5:$D$260,List1!$AE$5:$AF$231,2,FALSE),0)</f>
        <v>700000</v>
      </c>
      <c r="T171" s="41">
        <f t="shared" si="19"/>
        <v>3050313</v>
      </c>
      <c r="U171" s="41">
        <f>IFERROR(VLOOKUP(D171,List1!$P$5:$Q$110,2,FALSE),"0")</f>
        <v>290000</v>
      </c>
      <c r="V171" s="41">
        <v>0</v>
      </c>
      <c r="W171" s="248">
        <v>0</v>
      </c>
      <c r="X171" s="211">
        <f t="shared" si="20"/>
        <v>3340313</v>
      </c>
      <c r="Y171" s="219"/>
      <c r="Z171" s="80">
        <f>IFERROR(VLOOKUP($D$5:$D$260,#REF!,3,FALSE),0)</f>
        <v>0</v>
      </c>
      <c r="AA171" s="80">
        <f>IFERROR(VLOOKUP($D$5:$D$260,#REF!,3,FALSE),0)</f>
        <v>0</v>
      </c>
      <c r="AB171" s="243">
        <v>0</v>
      </c>
      <c r="AC171" s="202">
        <f t="shared" si="21"/>
        <v>0</v>
      </c>
      <c r="AD171" s="259">
        <f t="shared" si="22"/>
        <v>-290000</v>
      </c>
      <c r="AE171" s="260">
        <f t="shared" si="23"/>
        <v>-1</v>
      </c>
      <c r="AF171" s="260">
        <f t="shared" si="24"/>
        <v>-1</v>
      </c>
      <c r="AG171" s="260">
        <f t="shared" si="25"/>
        <v>-1</v>
      </c>
    </row>
    <row r="172" spans="1:592" s="13" customFormat="1" ht="31.5" x14ac:dyDescent="0.2">
      <c r="A172" s="10" t="s">
        <v>136</v>
      </c>
      <c r="B172" s="11">
        <v>26636328</v>
      </c>
      <c r="C172" s="11" t="s">
        <v>288</v>
      </c>
      <c r="D172" s="11">
        <v>8054292</v>
      </c>
      <c r="E172" s="228" t="s">
        <v>308</v>
      </c>
      <c r="F172" s="192" t="s">
        <v>300</v>
      </c>
      <c r="G172" s="201">
        <f>IFERROR(VLOOKUP(D172,List1!$A$5:$B$227,2,FALSE),"0")</f>
        <v>552000</v>
      </c>
      <c r="H172" s="41" t="str">
        <f>IFERROR(VLOOKUP(D172,List1!$D$5:$E$41,2,FALSE),"0")</f>
        <v>0</v>
      </c>
      <c r="I172" s="41">
        <f>IFERROR(VLOOKUP(D172,List1!$G$5:$H$227,2,FALSE),"0")</f>
        <v>147610</v>
      </c>
      <c r="J172" s="40">
        <f t="shared" si="18"/>
        <v>699610</v>
      </c>
      <c r="K172" s="41">
        <f>IFERROR(VLOOKUP(D172,List1!$J$5:$K$227,2,FALSE),"0")</f>
        <v>26000</v>
      </c>
      <c r="L172" s="41">
        <f>IFERROR(VLOOKUP(D172,List1!$M$5:$N$112,2,FALSE),"0")</f>
        <v>11000</v>
      </c>
      <c r="M172" s="43">
        <v>0</v>
      </c>
      <c r="N172" s="80">
        <f>VLOOKUP($D$5:$D$251,List2!$A$2:$B$241,2,FALSE)</f>
        <v>56884</v>
      </c>
      <c r="O172" s="80">
        <f>IFERROR(VLOOKUP($D$5:$D$260,List1!$Y$5:$Z$244,2,FALSE),0)</f>
        <v>0</v>
      </c>
      <c r="P172" s="202">
        <f>IFERROR(VLOOKUP($D$5:$D$260,List1!$AB$5:$AC$244,2,FALSE),0)</f>
        <v>0</v>
      </c>
      <c r="Q172" s="201">
        <f>IFERROR(VLOOKUP($D$5:$D$260,List1!$S$5:$T$231,2,FALSE),0)</f>
        <v>497713</v>
      </c>
      <c r="R172" s="41">
        <v>0</v>
      </c>
      <c r="S172" s="41">
        <f>IFERROR(VLOOKUP($D$5:$D$260,List1!$AE$5:$AF$231,2,FALSE),0)</f>
        <v>150000</v>
      </c>
      <c r="T172" s="41">
        <f t="shared" si="19"/>
        <v>647713</v>
      </c>
      <c r="U172" s="41">
        <f>IFERROR(VLOOKUP(D172,List1!$P$5:$Q$110,2,FALSE),"0")</f>
        <v>70000</v>
      </c>
      <c r="V172" s="41">
        <v>0</v>
      </c>
      <c r="W172" s="248">
        <v>0</v>
      </c>
      <c r="X172" s="211">
        <f t="shared" si="20"/>
        <v>717713</v>
      </c>
      <c r="Y172" s="219"/>
      <c r="Z172" s="80">
        <f>IFERROR(VLOOKUP($D$5:$D$260,#REF!,3,FALSE),0)</f>
        <v>0</v>
      </c>
      <c r="AA172" s="80">
        <f>IFERROR(VLOOKUP($D$5:$D$260,#REF!,3,FALSE),0)</f>
        <v>0</v>
      </c>
      <c r="AB172" s="243">
        <v>0</v>
      </c>
      <c r="AC172" s="202">
        <f t="shared" si="21"/>
        <v>0</v>
      </c>
      <c r="AD172" s="259">
        <f t="shared" si="22"/>
        <v>-70000</v>
      </c>
      <c r="AE172" s="260">
        <f t="shared" si="23"/>
        <v>-1</v>
      </c>
      <c r="AF172" s="260">
        <f t="shared" si="24"/>
        <v>-1</v>
      </c>
      <c r="AG172" s="260">
        <f t="shared" si="25"/>
        <v>-1</v>
      </c>
    </row>
    <row r="173" spans="1:592" s="20" customFormat="1" ht="21" x14ac:dyDescent="0.2">
      <c r="A173" s="10" t="s">
        <v>136</v>
      </c>
      <c r="B173" s="11">
        <v>26636328</v>
      </c>
      <c r="C173" s="11" t="s">
        <v>288</v>
      </c>
      <c r="D173" s="11">
        <v>5063729</v>
      </c>
      <c r="E173" s="228" t="s">
        <v>331</v>
      </c>
      <c r="F173" s="192" t="s">
        <v>294</v>
      </c>
      <c r="G173" s="201">
        <f>IFERROR(VLOOKUP(D173,List1!$A$5:$B$227,2,FALSE),"0")</f>
        <v>602000</v>
      </c>
      <c r="H173" s="41" t="str">
        <f>IFERROR(VLOOKUP(D173,List1!$D$5:$E$41,2,FALSE),"0")</f>
        <v>0</v>
      </c>
      <c r="I173" s="41">
        <f>IFERROR(VLOOKUP(D173,List1!$G$5:$H$227,2,FALSE),"0")</f>
        <v>115368</v>
      </c>
      <c r="J173" s="40">
        <f t="shared" si="18"/>
        <v>717368</v>
      </c>
      <c r="K173" s="41">
        <f>IFERROR(VLOOKUP(D173,List1!$J$5:$K$227,2,FALSE),"0")</f>
        <v>26000</v>
      </c>
      <c r="L173" s="41">
        <f>IFERROR(VLOOKUP(D173,List1!$M$5:$N$112,2,FALSE),"0")</f>
        <v>11000</v>
      </c>
      <c r="M173" s="43">
        <v>0</v>
      </c>
      <c r="N173" s="80">
        <f>VLOOKUP($D$5:$D$251,List2!$A$2:$B$241,2,FALSE)</f>
        <v>67876</v>
      </c>
      <c r="O173" s="80">
        <f>IFERROR(VLOOKUP($D$5:$D$260,List1!$Y$5:$Z$244,2,FALSE),0)</f>
        <v>0</v>
      </c>
      <c r="P173" s="202">
        <f>IFERROR(VLOOKUP($D$5:$D$260,List1!$AB$5:$AC$244,2,FALSE),0)</f>
        <v>0</v>
      </c>
      <c r="Q173" s="201">
        <f>IFERROR(VLOOKUP($D$5:$D$260,List1!$S$5:$T$231,2,FALSE),0)</f>
        <v>564075</v>
      </c>
      <c r="R173" s="41">
        <v>0</v>
      </c>
      <c r="S173" s="41">
        <f>IFERROR(VLOOKUP($D$5:$D$260,List1!$AE$5:$AF$231,2,FALSE),0)</f>
        <v>150000</v>
      </c>
      <c r="T173" s="41">
        <f t="shared" si="19"/>
        <v>714075</v>
      </c>
      <c r="U173" s="41">
        <f>IFERROR(VLOOKUP(D173,List1!$P$5:$Q$110,2,FALSE),"0")</f>
        <v>70000</v>
      </c>
      <c r="V173" s="41">
        <v>0</v>
      </c>
      <c r="W173" s="248">
        <v>0</v>
      </c>
      <c r="X173" s="211">
        <f t="shared" si="20"/>
        <v>784075</v>
      </c>
      <c r="Y173" s="219"/>
      <c r="Z173" s="80">
        <f>IFERROR(VLOOKUP($D$5:$D$260,#REF!,3,FALSE),0)</f>
        <v>0</v>
      </c>
      <c r="AA173" s="80">
        <f>IFERROR(VLOOKUP($D$5:$D$260,#REF!,3,FALSE),0)</f>
        <v>0</v>
      </c>
      <c r="AB173" s="243">
        <v>0</v>
      </c>
      <c r="AC173" s="202">
        <f t="shared" si="21"/>
        <v>0</v>
      </c>
      <c r="AD173" s="259">
        <f t="shared" si="22"/>
        <v>-70000</v>
      </c>
      <c r="AE173" s="260">
        <f t="shared" si="23"/>
        <v>-1</v>
      </c>
      <c r="AF173" s="260">
        <f t="shared" si="24"/>
        <v>-1</v>
      </c>
      <c r="AG173" s="260">
        <f t="shared" si="25"/>
        <v>-1</v>
      </c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  <c r="IT173" s="13"/>
      <c r="IU173" s="13"/>
      <c r="IV173" s="13"/>
      <c r="IW173" s="13"/>
      <c r="IX173" s="13"/>
      <c r="IY173" s="13"/>
      <c r="IZ173" s="13"/>
      <c r="JA173" s="13"/>
      <c r="JB173" s="13"/>
      <c r="JC173" s="13"/>
      <c r="JD173" s="13"/>
      <c r="JE173" s="13"/>
      <c r="JF173" s="13"/>
      <c r="JG173" s="13"/>
      <c r="JH173" s="13"/>
      <c r="JI173" s="13"/>
      <c r="JJ173" s="13"/>
      <c r="JK173" s="13"/>
      <c r="JL173" s="13"/>
      <c r="JM173" s="13"/>
      <c r="JN173" s="13"/>
      <c r="JO173" s="13"/>
      <c r="JP173" s="13"/>
      <c r="JQ173" s="13"/>
      <c r="JR173" s="13"/>
      <c r="JS173" s="13"/>
      <c r="JT173" s="13"/>
      <c r="JU173" s="13"/>
      <c r="JV173" s="13"/>
      <c r="JW173" s="13"/>
      <c r="JX173" s="13"/>
      <c r="JY173" s="13"/>
      <c r="JZ173" s="13"/>
      <c r="KA173" s="13"/>
      <c r="KB173" s="13"/>
      <c r="KC173" s="13"/>
      <c r="KD173" s="13"/>
      <c r="KE173" s="13"/>
      <c r="KF173" s="13"/>
      <c r="KG173" s="13"/>
      <c r="KH173" s="13"/>
      <c r="KI173" s="13"/>
      <c r="KJ173" s="13"/>
      <c r="KK173" s="13"/>
      <c r="KL173" s="13"/>
      <c r="KM173" s="13"/>
      <c r="KN173" s="13"/>
      <c r="KO173" s="13"/>
      <c r="KP173" s="13"/>
      <c r="KQ173" s="13"/>
      <c r="KR173" s="13"/>
      <c r="KS173" s="13"/>
      <c r="KT173" s="13"/>
      <c r="KU173" s="13"/>
      <c r="KV173" s="13"/>
      <c r="KW173" s="13"/>
      <c r="KX173" s="13"/>
      <c r="KY173" s="13"/>
      <c r="KZ173" s="13"/>
      <c r="LA173" s="13"/>
      <c r="LB173" s="13"/>
      <c r="LC173" s="13"/>
      <c r="LD173" s="13"/>
      <c r="LE173" s="13"/>
      <c r="LF173" s="13"/>
      <c r="LG173" s="13"/>
      <c r="LH173" s="13"/>
      <c r="LI173" s="13"/>
      <c r="LJ173" s="13"/>
      <c r="LK173" s="13"/>
      <c r="LL173" s="13"/>
      <c r="LM173" s="13"/>
      <c r="LN173" s="13"/>
      <c r="LO173" s="13"/>
      <c r="LP173" s="13"/>
      <c r="LQ173" s="13"/>
      <c r="LR173" s="13"/>
      <c r="LS173" s="13"/>
      <c r="LT173" s="13"/>
      <c r="LU173" s="13"/>
      <c r="LV173" s="13"/>
      <c r="LW173" s="13"/>
      <c r="LX173" s="13"/>
      <c r="LY173" s="13"/>
      <c r="LZ173" s="13"/>
      <c r="MA173" s="13"/>
      <c r="MB173" s="13"/>
      <c r="MC173" s="13"/>
      <c r="MD173" s="13"/>
      <c r="ME173" s="13"/>
      <c r="MF173" s="13"/>
      <c r="MG173" s="13"/>
      <c r="MH173" s="13"/>
      <c r="MI173" s="13"/>
      <c r="MJ173" s="13"/>
      <c r="MK173" s="13"/>
      <c r="ML173" s="13"/>
      <c r="MM173" s="13"/>
      <c r="MN173" s="13"/>
      <c r="MO173" s="13"/>
      <c r="MP173" s="13"/>
      <c r="MQ173" s="13"/>
      <c r="MR173" s="13"/>
      <c r="MS173" s="13"/>
      <c r="MT173" s="13"/>
      <c r="MU173" s="13"/>
      <c r="MV173" s="13"/>
      <c r="MW173" s="13"/>
      <c r="MX173" s="13"/>
      <c r="MY173" s="13"/>
      <c r="MZ173" s="13"/>
      <c r="NA173" s="13"/>
      <c r="NB173" s="13"/>
      <c r="NC173" s="13"/>
      <c r="ND173" s="13"/>
      <c r="NE173" s="13"/>
      <c r="NF173" s="13"/>
      <c r="NG173" s="13"/>
      <c r="NH173" s="13"/>
      <c r="NI173" s="13"/>
      <c r="NJ173" s="13"/>
      <c r="NK173" s="13"/>
      <c r="NL173" s="13"/>
      <c r="NM173" s="13"/>
      <c r="NN173" s="13"/>
      <c r="NO173" s="13"/>
      <c r="NP173" s="13"/>
      <c r="NQ173" s="13"/>
      <c r="NR173" s="13"/>
      <c r="NS173" s="13"/>
      <c r="NT173" s="13"/>
      <c r="NU173" s="13"/>
      <c r="NV173" s="13"/>
      <c r="NW173" s="13"/>
      <c r="NX173" s="13"/>
      <c r="NY173" s="13"/>
      <c r="NZ173" s="13"/>
      <c r="OA173" s="13"/>
      <c r="OB173" s="13"/>
      <c r="OC173" s="13"/>
      <c r="OD173" s="13"/>
      <c r="OE173" s="13"/>
      <c r="OF173" s="13"/>
      <c r="OG173" s="13"/>
      <c r="OH173" s="13"/>
      <c r="OI173" s="13"/>
      <c r="OJ173" s="13"/>
      <c r="OK173" s="13"/>
      <c r="OL173" s="13"/>
      <c r="OM173" s="13"/>
      <c r="ON173" s="13"/>
      <c r="OO173" s="13"/>
      <c r="OP173" s="13"/>
      <c r="OQ173" s="13"/>
      <c r="OR173" s="13"/>
      <c r="OS173" s="13"/>
      <c r="OT173" s="13"/>
      <c r="OU173" s="13"/>
      <c r="OV173" s="13"/>
      <c r="OW173" s="13"/>
      <c r="OX173" s="13"/>
      <c r="OY173" s="13"/>
      <c r="OZ173" s="13"/>
      <c r="PA173" s="13"/>
      <c r="PB173" s="13"/>
      <c r="PC173" s="13"/>
      <c r="PD173" s="13"/>
      <c r="PE173" s="13"/>
      <c r="PF173" s="13"/>
      <c r="PG173" s="13"/>
      <c r="PH173" s="13"/>
      <c r="PI173" s="13"/>
      <c r="PJ173" s="13"/>
      <c r="PK173" s="13"/>
      <c r="PL173" s="13"/>
      <c r="PM173" s="13"/>
      <c r="PN173" s="13"/>
      <c r="PO173" s="13"/>
      <c r="PP173" s="13"/>
      <c r="PQ173" s="13"/>
      <c r="PR173" s="13"/>
      <c r="PS173" s="13"/>
      <c r="PT173" s="13"/>
      <c r="PU173" s="13"/>
      <c r="PV173" s="13"/>
      <c r="PW173" s="13"/>
      <c r="PX173" s="13"/>
      <c r="PY173" s="13"/>
      <c r="PZ173" s="13"/>
      <c r="QA173" s="13"/>
      <c r="QB173" s="13"/>
      <c r="QC173" s="13"/>
      <c r="QD173" s="13"/>
      <c r="QE173" s="13"/>
      <c r="QF173" s="13"/>
      <c r="QG173" s="13"/>
      <c r="QH173" s="13"/>
      <c r="QI173" s="13"/>
      <c r="QJ173" s="13"/>
      <c r="QK173" s="13"/>
      <c r="QL173" s="13"/>
      <c r="QM173" s="13"/>
      <c r="QN173" s="13"/>
      <c r="QO173" s="13"/>
      <c r="QP173" s="13"/>
      <c r="QQ173" s="13"/>
      <c r="QR173" s="13"/>
      <c r="QS173" s="13"/>
      <c r="QT173" s="13"/>
      <c r="QU173" s="13"/>
      <c r="QV173" s="13"/>
      <c r="QW173" s="13"/>
      <c r="QX173" s="13"/>
      <c r="QY173" s="13"/>
      <c r="QZ173" s="13"/>
      <c r="RA173" s="13"/>
      <c r="RB173" s="13"/>
      <c r="RC173" s="13"/>
      <c r="RD173" s="13"/>
      <c r="RE173" s="13"/>
      <c r="RF173" s="13"/>
      <c r="RG173" s="13"/>
      <c r="RH173" s="13"/>
      <c r="RI173" s="13"/>
      <c r="RJ173" s="13"/>
      <c r="RK173" s="13"/>
      <c r="RL173" s="13"/>
      <c r="RM173" s="13"/>
      <c r="RN173" s="13"/>
      <c r="RO173" s="13"/>
      <c r="RP173" s="13"/>
      <c r="RQ173" s="13"/>
      <c r="RR173" s="13"/>
      <c r="RS173" s="13"/>
      <c r="RT173" s="13"/>
      <c r="RU173" s="13"/>
      <c r="RV173" s="13"/>
      <c r="RW173" s="13"/>
      <c r="RX173" s="13"/>
      <c r="RY173" s="13"/>
      <c r="RZ173" s="13"/>
      <c r="SA173" s="13"/>
      <c r="SB173" s="13"/>
      <c r="SC173" s="13"/>
      <c r="SD173" s="13"/>
      <c r="SE173" s="13"/>
      <c r="SF173" s="13"/>
      <c r="SG173" s="13"/>
      <c r="SH173" s="13"/>
      <c r="SI173" s="13"/>
      <c r="SJ173" s="13"/>
      <c r="SK173" s="13"/>
      <c r="SL173" s="13"/>
      <c r="SM173" s="13"/>
      <c r="SN173" s="13"/>
      <c r="SO173" s="13"/>
      <c r="SP173" s="13"/>
      <c r="SQ173" s="13"/>
      <c r="SR173" s="13"/>
      <c r="SS173" s="13"/>
      <c r="ST173" s="13"/>
      <c r="SU173" s="13"/>
      <c r="SV173" s="13"/>
      <c r="SW173" s="13"/>
      <c r="SX173" s="13"/>
      <c r="SY173" s="13"/>
      <c r="SZ173" s="13"/>
      <c r="TA173" s="13"/>
      <c r="TB173" s="13"/>
      <c r="TC173" s="13"/>
      <c r="TD173" s="13"/>
      <c r="TE173" s="13"/>
      <c r="TF173" s="13"/>
      <c r="TG173" s="13"/>
      <c r="TH173" s="13"/>
      <c r="TI173" s="13"/>
      <c r="TJ173" s="13"/>
      <c r="TK173" s="13"/>
      <c r="TL173" s="13"/>
      <c r="TM173" s="13"/>
      <c r="TN173" s="13"/>
      <c r="TO173" s="13"/>
      <c r="TP173" s="13"/>
      <c r="TQ173" s="13"/>
      <c r="TR173" s="13"/>
      <c r="TS173" s="13"/>
      <c r="TT173" s="13"/>
      <c r="TU173" s="13"/>
      <c r="TV173" s="13"/>
      <c r="TW173" s="13"/>
      <c r="TX173" s="13"/>
      <c r="TY173" s="13"/>
      <c r="TZ173" s="13"/>
      <c r="UA173" s="13"/>
      <c r="UB173" s="13"/>
      <c r="UC173" s="13"/>
      <c r="UD173" s="13"/>
      <c r="UE173" s="13"/>
      <c r="UF173" s="13"/>
      <c r="UG173" s="13"/>
      <c r="UH173" s="13"/>
      <c r="UI173" s="13"/>
      <c r="UJ173" s="13"/>
      <c r="UK173" s="13"/>
      <c r="UL173" s="13"/>
      <c r="UM173" s="13"/>
      <c r="UN173" s="13"/>
      <c r="UO173" s="13"/>
      <c r="UP173" s="13"/>
      <c r="UQ173" s="13"/>
      <c r="UR173" s="13"/>
      <c r="US173" s="13"/>
      <c r="UT173" s="13"/>
      <c r="UU173" s="13"/>
      <c r="UV173" s="13"/>
      <c r="UW173" s="13"/>
      <c r="UX173" s="13"/>
      <c r="UY173" s="13"/>
      <c r="UZ173" s="13"/>
      <c r="VA173" s="13"/>
      <c r="VB173" s="13"/>
      <c r="VC173" s="13"/>
      <c r="VD173" s="13"/>
      <c r="VE173" s="13"/>
      <c r="VF173" s="13"/>
      <c r="VG173" s="13"/>
      <c r="VH173" s="13"/>
      <c r="VI173" s="13"/>
      <c r="VJ173" s="13"/>
      <c r="VK173" s="13"/>
      <c r="VL173" s="13"/>
      <c r="VM173" s="13"/>
      <c r="VN173" s="13"/>
      <c r="VO173" s="13"/>
      <c r="VP173" s="13"/>
      <c r="VQ173" s="13"/>
      <c r="VR173" s="13"/>
      <c r="VS173" s="13"/>
      <c r="VT173" s="13"/>
    </row>
    <row r="174" spans="1:592" s="13" customFormat="1" ht="21" x14ac:dyDescent="0.2">
      <c r="A174" s="10" t="s">
        <v>418</v>
      </c>
      <c r="B174" s="15" t="s">
        <v>419</v>
      </c>
      <c r="C174" s="11" t="s">
        <v>379</v>
      </c>
      <c r="D174" s="11">
        <v>7177985</v>
      </c>
      <c r="E174" s="225" t="s">
        <v>325</v>
      </c>
      <c r="F174" s="192" t="s">
        <v>294</v>
      </c>
      <c r="G174" s="201">
        <f>IFERROR(VLOOKUP(D174,List1!$A$5:$B$227,2,FALSE),"0")</f>
        <v>772000</v>
      </c>
      <c r="H174" s="41" t="str">
        <f>IFERROR(VLOOKUP(D174,List1!$D$5:$E$41,2,FALSE),"0")</f>
        <v>0</v>
      </c>
      <c r="I174" s="41">
        <f>IFERROR(VLOOKUP(D174,List1!$G$5:$H$227,2,FALSE),"0")</f>
        <v>227577</v>
      </c>
      <c r="J174" s="40">
        <f t="shared" si="18"/>
        <v>999577</v>
      </c>
      <c r="K174" s="41" t="str">
        <f>IFERROR(VLOOKUP(D174,List1!$J$5:$K$227,2,FALSE),"0")</f>
        <v>0</v>
      </c>
      <c r="L174" s="41">
        <f>IFERROR(VLOOKUP(D174,List1!$M$5:$N$112,2,FALSE),"0")</f>
        <v>32000</v>
      </c>
      <c r="M174" s="43">
        <v>0</v>
      </c>
      <c r="N174" s="80">
        <f>VLOOKUP($D$5:$D$251,List2!$A$2:$B$241,2,FALSE)</f>
        <v>0</v>
      </c>
      <c r="O174" s="80">
        <f>IFERROR(VLOOKUP($D$5:$D$260,List1!$Y$5:$Z$244,2,FALSE),0)</f>
        <v>0</v>
      </c>
      <c r="P174" s="202">
        <f>IFERROR(VLOOKUP($D$5:$D$260,List1!$AB$5:$AC$244,2,FALSE),0)</f>
        <v>0</v>
      </c>
      <c r="Q174" s="201">
        <f>IFERROR(VLOOKUP($D$5:$D$260,List1!$S$5:$T$231,2,FALSE),0)</f>
        <v>1062941</v>
      </c>
      <c r="R174" s="41">
        <v>0</v>
      </c>
      <c r="S174" s="41">
        <f>IFERROR(VLOOKUP($D$5:$D$260,List1!$AE$5:$AF$231,2,FALSE),0)</f>
        <v>200000</v>
      </c>
      <c r="T174" s="41">
        <f t="shared" si="19"/>
        <v>1262941</v>
      </c>
      <c r="U174" s="41" t="str">
        <f>IFERROR(VLOOKUP(D174,List1!$P$5:$Q$110,2,FALSE),"0")</f>
        <v>0</v>
      </c>
      <c r="V174" s="41">
        <v>0</v>
      </c>
      <c r="W174" s="248">
        <v>0</v>
      </c>
      <c r="X174" s="211">
        <f t="shared" si="20"/>
        <v>1262941</v>
      </c>
      <c r="Y174" s="219"/>
      <c r="Z174" s="80">
        <f>IFERROR(VLOOKUP($D$5:$D$260,#REF!,3,FALSE),0)</f>
        <v>0</v>
      </c>
      <c r="AA174" s="80">
        <f>IFERROR(VLOOKUP($D$5:$D$260,#REF!,3,FALSE),0)</f>
        <v>0</v>
      </c>
      <c r="AB174" s="243">
        <v>0</v>
      </c>
      <c r="AC174" s="202">
        <f t="shared" si="21"/>
        <v>0</v>
      </c>
      <c r="AD174" s="259">
        <f t="shared" si="22"/>
        <v>0</v>
      </c>
      <c r="AE174" s="260">
        <f t="shared" si="23"/>
        <v>0</v>
      </c>
      <c r="AF174" s="260">
        <f t="shared" si="24"/>
        <v>0</v>
      </c>
      <c r="AG174" s="260">
        <f t="shared" si="25"/>
        <v>0</v>
      </c>
    </row>
    <row r="175" spans="1:592" s="20" customFormat="1" ht="21" x14ac:dyDescent="0.2">
      <c r="A175" s="10" t="s">
        <v>420</v>
      </c>
      <c r="B175" s="15" t="s">
        <v>421</v>
      </c>
      <c r="C175" s="11" t="s">
        <v>379</v>
      </c>
      <c r="D175" s="11">
        <v>1853485</v>
      </c>
      <c r="E175" s="225" t="s">
        <v>325</v>
      </c>
      <c r="F175" s="192" t="s">
        <v>294</v>
      </c>
      <c r="G175" s="201">
        <f>IFERROR(VLOOKUP(D175,List1!$A$5:$B$227,2,FALSE),"0")</f>
        <v>227000</v>
      </c>
      <c r="H175" s="41" t="str">
        <f>IFERROR(VLOOKUP(D175,List1!$D$5:$E$41,2,FALSE),"0")</f>
        <v>0</v>
      </c>
      <c r="I175" s="41" t="str">
        <f>IFERROR(VLOOKUP(D175,List1!$G$5:$H$227,2,FALSE),"0")</f>
        <v>0</v>
      </c>
      <c r="J175" s="40">
        <f t="shared" si="18"/>
        <v>227000</v>
      </c>
      <c r="K175" s="41" t="str">
        <f>IFERROR(VLOOKUP(D175,List1!$J$5:$K$227,2,FALSE),"0")</f>
        <v>0</v>
      </c>
      <c r="L175" s="41" t="str">
        <f>IFERROR(VLOOKUP(D175,List1!$M$5:$N$112,2,FALSE),"0")</f>
        <v>0</v>
      </c>
      <c r="M175" s="43">
        <v>0</v>
      </c>
      <c r="N175" s="80">
        <f>VLOOKUP($D$5:$D$251,List2!$A$2:$B$241,2,FALSE)</f>
        <v>0</v>
      </c>
      <c r="O175" s="80">
        <f>IFERROR(VLOOKUP($D$5:$D$260,List1!$Y$5:$Z$244,2,FALSE),0)</f>
        <v>0</v>
      </c>
      <c r="P175" s="202">
        <f>IFERROR(VLOOKUP($D$5:$D$260,List1!$AB$5:$AC$244,2,FALSE),0)</f>
        <v>0</v>
      </c>
      <c r="Q175" s="201">
        <f>IFERROR(VLOOKUP($D$5:$D$260,List1!$S$5:$T$231,2,FALSE),0)</f>
        <v>307230</v>
      </c>
      <c r="R175" s="41">
        <v>0</v>
      </c>
      <c r="S175" s="41">
        <f>IFERROR(VLOOKUP($D$5:$D$260,List1!$AE$5:$AF$231,2,FALSE),0)</f>
        <v>50000</v>
      </c>
      <c r="T175" s="41">
        <f t="shared" si="19"/>
        <v>357230</v>
      </c>
      <c r="U175" s="41" t="str">
        <f>IFERROR(VLOOKUP(D175,List1!$P$5:$Q$110,2,FALSE),"0")</f>
        <v>0</v>
      </c>
      <c r="V175" s="41">
        <v>0</v>
      </c>
      <c r="W175" s="248">
        <v>0</v>
      </c>
      <c r="X175" s="211">
        <f t="shared" si="20"/>
        <v>357230</v>
      </c>
      <c r="Y175" s="219"/>
      <c r="Z175" s="80">
        <f>IFERROR(VLOOKUP($D$5:$D$260,#REF!,3,FALSE),0)</f>
        <v>0</v>
      </c>
      <c r="AA175" s="80">
        <f>IFERROR(VLOOKUP($D$5:$D$260,#REF!,3,FALSE),0)</f>
        <v>0</v>
      </c>
      <c r="AB175" s="243">
        <v>0</v>
      </c>
      <c r="AC175" s="202">
        <f t="shared" si="21"/>
        <v>0</v>
      </c>
      <c r="AD175" s="259">
        <f t="shared" si="22"/>
        <v>0</v>
      </c>
      <c r="AE175" s="260">
        <f t="shared" si="23"/>
        <v>0</v>
      </c>
      <c r="AF175" s="260">
        <f t="shared" si="24"/>
        <v>0</v>
      </c>
      <c r="AG175" s="260">
        <f t="shared" si="25"/>
        <v>0</v>
      </c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  <c r="IT175" s="13"/>
      <c r="IU175" s="13"/>
      <c r="IV175" s="13"/>
      <c r="IW175" s="13"/>
      <c r="IX175" s="13"/>
      <c r="IY175" s="13"/>
      <c r="IZ175" s="13"/>
      <c r="JA175" s="13"/>
      <c r="JB175" s="13"/>
      <c r="JC175" s="13"/>
      <c r="JD175" s="13"/>
      <c r="JE175" s="13"/>
      <c r="JF175" s="13"/>
      <c r="JG175" s="13"/>
      <c r="JH175" s="13"/>
      <c r="JI175" s="13"/>
      <c r="JJ175" s="13"/>
      <c r="JK175" s="13"/>
      <c r="JL175" s="13"/>
      <c r="JM175" s="13"/>
      <c r="JN175" s="13"/>
      <c r="JO175" s="13"/>
      <c r="JP175" s="13"/>
      <c r="JQ175" s="13"/>
      <c r="JR175" s="13"/>
      <c r="JS175" s="13"/>
      <c r="JT175" s="13"/>
      <c r="JU175" s="13"/>
      <c r="JV175" s="13"/>
      <c r="JW175" s="13"/>
      <c r="JX175" s="13"/>
      <c r="JY175" s="13"/>
      <c r="JZ175" s="13"/>
      <c r="KA175" s="13"/>
      <c r="KB175" s="13"/>
      <c r="KC175" s="13"/>
      <c r="KD175" s="13"/>
      <c r="KE175" s="13"/>
      <c r="KF175" s="13"/>
      <c r="KG175" s="13"/>
      <c r="KH175" s="13"/>
      <c r="KI175" s="13"/>
      <c r="KJ175" s="13"/>
      <c r="KK175" s="13"/>
      <c r="KL175" s="13"/>
      <c r="KM175" s="13"/>
      <c r="KN175" s="13"/>
      <c r="KO175" s="13"/>
      <c r="KP175" s="13"/>
      <c r="KQ175" s="13"/>
      <c r="KR175" s="13"/>
      <c r="KS175" s="13"/>
      <c r="KT175" s="13"/>
      <c r="KU175" s="13"/>
      <c r="KV175" s="13"/>
      <c r="KW175" s="13"/>
      <c r="KX175" s="13"/>
      <c r="KY175" s="13"/>
      <c r="KZ175" s="13"/>
      <c r="LA175" s="13"/>
      <c r="LB175" s="13"/>
      <c r="LC175" s="13"/>
      <c r="LD175" s="13"/>
      <c r="LE175" s="13"/>
      <c r="LF175" s="13"/>
      <c r="LG175" s="13"/>
      <c r="LH175" s="13"/>
      <c r="LI175" s="13"/>
      <c r="LJ175" s="13"/>
      <c r="LK175" s="13"/>
      <c r="LL175" s="13"/>
      <c r="LM175" s="13"/>
      <c r="LN175" s="13"/>
      <c r="LO175" s="13"/>
      <c r="LP175" s="13"/>
      <c r="LQ175" s="13"/>
      <c r="LR175" s="13"/>
      <c r="LS175" s="13"/>
      <c r="LT175" s="13"/>
      <c r="LU175" s="13"/>
      <c r="LV175" s="13"/>
      <c r="LW175" s="13"/>
      <c r="LX175" s="13"/>
      <c r="LY175" s="13"/>
      <c r="LZ175" s="13"/>
      <c r="MA175" s="13"/>
      <c r="MB175" s="13"/>
      <c r="MC175" s="13"/>
      <c r="MD175" s="13"/>
      <c r="ME175" s="13"/>
      <c r="MF175" s="13"/>
      <c r="MG175" s="13"/>
      <c r="MH175" s="13"/>
      <c r="MI175" s="13"/>
      <c r="MJ175" s="13"/>
      <c r="MK175" s="13"/>
      <c r="ML175" s="13"/>
      <c r="MM175" s="13"/>
      <c r="MN175" s="13"/>
      <c r="MO175" s="13"/>
      <c r="MP175" s="13"/>
      <c r="MQ175" s="13"/>
      <c r="MR175" s="13"/>
      <c r="MS175" s="13"/>
      <c r="MT175" s="13"/>
      <c r="MU175" s="13"/>
      <c r="MV175" s="13"/>
      <c r="MW175" s="13"/>
      <c r="MX175" s="13"/>
      <c r="MY175" s="13"/>
      <c r="MZ175" s="13"/>
      <c r="NA175" s="13"/>
      <c r="NB175" s="13"/>
      <c r="NC175" s="13"/>
      <c r="ND175" s="13"/>
      <c r="NE175" s="13"/>
      <c r="NF175" s="13"/>
      <c r="NG175" s="13"/>
      <c r="NH175" s="13"/>
      <c r="NI175" s="13"/>
      <c r="NJ175" s="13"/>
      <c r="NK175" s="13"/>
      <c r="NL175" s="13"/>
      <c r="NM175" s="13"/>
      <c r="NN175" s="13"/>
      <c r="NO175" s="13"/>
      <c r="NP175" s="13"/>
      <c r="NQ175" s="13"/>
      <c r="NR175" s="13"/>
      <c r="NS175" s="13"/>
      <c r="NT175" s="13"/>
      <c r="NU175" s="13"/>
      <c r="NV175" s="13"/>
      <c r="NW175" s="13"/>
      <c r="NX175" s="13"/>
      <c r="NY175" s="13"/>
      <c r="NZ175" s="13"/>
      <c r="OA175" s="13"/>
      <c r="OB175" s="13"/>
      <c r="OC175" s="13"/>
      <c r="OD175" s="13"/>
      <c r="OE175" s="13"/>
      <c r="OF175" s="13"/>
      <c r="OG175" s="13"/>
      <c r="OH175" s="13"/>
      <c r="OI175" s="13"/>
      <c r="OJ175" s="13"/>
      <c r="OK175" s="13"/>
      <c r="OL175" s="13"/>
      <c r="OM175" s="13"/>
      <c r="ON175" s="13"/>
      <c r="OO175" s="13"/>
      <c r="OP175" s="13"/>
      <c r="OQ175" s="13"/>
      <c r="OR175" s="13"/>
      <c r="OS175" s="13"/>
      <c r="OT175" s="13"/>
      <c r="OU175" s="13"/>
      <c r="OV175" s="13"/>
      <c r="OW175" s="13"/>
      <c r="OX175" s="13"/>
      <c r="OY175" s="13"/>
      <c r="OZ175" s="13"/>
      <c r="PA175" s="13"/>
      <c r="PB175" s="13"/>
      <c r="PC175" s="13"/>
      <c r="PD175" s="13"/>
      <c r="PE175" s="13"/>
      <c r="PF175" s="13"/>
      <c r="PG175" s="13"/>
      <c r="PH175" s="13"/>
      <c r="PI175" s="13"/>
      <c r="PJ175" s="13"/>
      <c r="PK175" s="13"/>
      <c r="PL175" s="13"/>
      <c r="PM175" s="13"/>
      <c r="PN175" s="13"/>
      <c r="PO175" s="13"/>
      <c r="PP175" s="13"/>
      <c r="PQ175" s="13"/>
      <c r="PR175" s="13"/>
      <c r="PS175" s="13"/>
      <c r="PT175" s="13"/>
      <c r="PU175" s="13"/>
      <c r="PV175" s="13"/>
      <c r="PW175" s="13"/>
      <c r="PX175" s="13"/>
      <c r="PY175" s="13"/>
      <c r="PZ175" s="13"/>
      <c r="QA175" s="13"/>
      <c r="QB175" s="13"/>
      <c r="QC175" s="13"/>
      <c r="QD175" s="13"/>
      <c r="QE175" s="13"/>
      <c r="QF175" s="13"/>
      <c r="QG175" s="13"/>
      <c r="QH175" s="13"/>
      <c r="QI175" s="13"/>
      <c r="QJ175" s="13"/>
      <c r="QK175" s="13"/>
      <c r="QL175" s="13"/>
      <c r="QM175" s="13"/>
      <c r="QN175" s="13"/>
      <c r="QO175" s="13"/>
      <c r="QP175" s="13"/>
      <c r="QQ175" s="13"/>
      <c r="QR175" s="13"/>
      <c r="QS175" s="13"/>
      <c r="QT175" s="13"/>
      <c r="QU175" s="13"/>
      <c r="QV175" s="13"/>
      <c r="QW175" s="13"/>
      <c r="QX175" s="13"/>
      <c r="QY175" s="13"/>
      <c r="QZ175" s="13"/>
      <c r="RA175" s="13"/>
      <c r="RB175" s="13"/>
      <c r="RC175" s="13"/>
      <c r="RD175" s="13"/>
      <c r="RE175" s="13"/>
      <c r="RF175" s="13"/>
      <c r="RG175" s="13"/>
      <c r="RH175" s="13"/>
      <c r="RI175" s="13"/>
      <c r="RJ175" s="13"/>
      <c r="RK175" s="13"/>
      <c r="RL175" s="13"/>
      <c r="RM175" s="13"/>
      <c r="RN175" s="13"/>
      <c r="RO175" s="13"/>
      <c r="RP175" s="13"/>
      <c r="RQ175" s="13"/>
      <c r="RR175" s="13"/>
      <c r="RS175" s="13"/>
      <c r="RT175" s="13"/>
      <c r="RU175" s="13"/>
      <c r="RV175" s="13"/>
      <c r="RW175" s="13"/>
      <c r="RX175" s="13"/>
      <c r="RY175" s="13"/>
      <c r="RZ175" s="13"/>
      <c r="SA175" s="13"/>
      <c r="SB175" s="13"/>
      <c r="SC175" s="13"/>
      <c r="SD175" s="13"/>
      <c r="SE175" s="13"/>
      <c r="SF175" s="13"/>
      <c r="SG175" s="13"/>
      <c r="SH175" s="13"/>
      <c r="SI175" s="13"/>
      <c r="SJ175" s="13"/>
      <c r="SK175" s="13"/>
      <c r="SL175" s="13"/>
      <c r="SM175" s="13"/>
      <c r="SN175" s="13"/>
      <c r="SO175" s="13"/>
      <c r="SP175" s="13"/>
      <c r="SQ175" s="13"/>
      <c r="SR175" s="13"/>
      <c r="SS175" s="13"/>
      <c r="ST175" s="13"/>
      <c r="SU175" s="13"/>
      <c r="SV175" s="13"/>
      <c r="SW175" s="13"/>
      <c r="SX175" s="13"/>
      <c r="SY175" s="13"/>
      <c r="SZ175" s="13"/>
      <c r="TA175" s="13"/>
      <c r="TB175" s="13"/>
      <c r="TC175" s="13"/>
      <c r="TD175" s="13"/>
      <c r="TE175" s="13"/>
      <c r="TF175" s="13"/>
      <c r="TG175" s="13"/>
      <c r="TH175" s="13"/>
      <c r="TI175" s="13"/>
      <c r="TJ175" s="13"/>
      <c r="TK175" s="13"/>
      <c r="TL175" s="13"/>
      <c r="TM175" s="13"/>
      <c r="TN175" s="13"/>
      <c r="TO175" s="13"/>
      <c r="TP175" s="13"/>
      <c r="TQ175" s="13"/>
      <c r="TR175" s="13"/>
      <c r="TS175" s="13"/>
      <c r="TT175" s="13"/>
      <c r="TU175" s="13"/>
      <c r="TV175" s="13"/>
      <c r="TW175" s="13"/>
      <c r="TX175" s="13"/>
      <c r="TY175" s="13"/>
      <c r="TZ175" s="13"/>
      <c r="UA175" s="13"/>
      <c r="UB175" s="13"/>
      <c r="UC175" s="13"/>
      <c r="UD175" s="13"/>
      <c r="UE175" s="13"/>
      <c r="UF175" s="13"/>
      <c r="UG175" s="13"/>
      <c r="UH175" s="13"/>
      <c r="UI175" s="13"/>
      <c r="UJ175" s="13"/>
      <c r="UK175" s="13"/>
      <c r="UL175" s="13"/>
      <c r="UM175" s="13"/>
      <c r="UN175" s="13"/>
      <c r="UO175" s="13"/>
      <c r="UP175" s="13"/>
      <c r="UQ175" s="13"/>
      <c r="UR175" s="13"/>
      <c r="US175" s="13"/>
      <c r="UT175" s="13"/>
      <c r="UU175" s="13"/>
      <c r="UV175" s="13"/>
      <c r="UW175" s="13"/>
      <c r="UX175" s="13"/>
      <c r="UY175" s="13"/>
      <c r="UZ175" s="13"/>
      <c r="VA175" s="13"/>
      <c r="VB175" s="13"/>
      <c r="VC175" s="13"/>
      <c r="VD175" s="13"/>
      <c r="VE175" s="13"/>
      <c r="VF175" s="13"/>
      <c r="VG175" s="13"/>
      <c r="VH175" s="13"/>
      <c r="VI175" s="13"/>
      <c r="VJ175" s="13"/>
      <c r="VK175" s="13"/>
      <c r="VL175" s="13"/>
      <c r="VM175" s="13"/>
      <c r="VN175" s="13"/>
      <c r="VO175" s="13"/>
      <c r="VP175" s="13"/>
      <c r="VQ175" s="13"/>
      <c r="VR175" s="13"/>
      <c r="VS175" s="13"/>
      <c r="VT175" s="13"/>
    </row>
    <row r="176" spans="1:592" s="20" customFormat="1" ht="21" x14ac:dyDescent="0.2">
      <c r="A176" s="10" t="s">
        <v>422</v>
      </c>
      <c r="B176" s="15" t="s">
        <v>423</v>
      </c>
      <c r="C176" s="11" t="s">
        <v>379</v>
      </c>
      <c r="D176" s="11">
        <v>3415850</v>
      </c>
      <c r="E176" s="225" t="s">
        <v>325</v>
      </c>
      <c r="F176" s="192" t="s">
        <v>294</v>
      </c>
      <c r="G176" s="201">
        <f>IFERROR(VLOOKUP(D176,List1!$A$5:$B$227,2,FALSE),"0")</f>
        <v>696000</v>
      </c>
      <c r="H176" s="41" t="str">
        <f>IFERROR(VLOOKUP(D176,List1!$D$5:$E$41,2,FALSE),"0")</f>
        <v>0</v>
      </c>
      <c r="I176" s="41" t="str">
        <f>IFERROR(VLOOKUP(D176,List1!$G$5:$H$227,2,FALSE),"0")</f>
        <v>0</v>
      </c>
      <c r="J176" s="40">
        <f t="shared" si="18"/>
        <v>696000</v>
      </c>
      <c r="K176" s="41" t="str">
        <f>IFERROR(VLOOKUP(D176,List1!$J$5:$K$227,2,FALSE),"0")</f>
        <v>0</v>
      </c>
      <c r="L176" s="41" t="str">
        <f>IFERROR(VLOOKUP(D176,List1!$M$5:$N$112,2,FALSE),"0")</f>
        <v>0</v>
      </c>
      <c r="M176" s="43">
        <v>0</v>
      </c>
      <c r="N176" s="80">
        <f>VLOOKUP($D$5:$D$251,List2!$A$2:$B$241,2,FALSE)</f>
        <v>0</v>
      </c>
      <c r="O176" s="80">
        <f>IFERROR(VLOOKUP($D$5:$D$260,List1!$Y$5:$Z$244,2,FALSE),0)</f>
        <v>0</v>
      </c>
      <c r="P176" s="202">
        <f>IFERROR(VLOOKUP($D$5:$D$260,List1!$AB$5:$AC$244,2,FALSE),0)</f>
        <v>0</v>
      </c>
      <c r="Q176" s="201">
        <f>IFERROR(VLOOKUP($D$5:$D$260,List1!$S$5:$T$231,2,FALSE),0)</f>
        <v>619129</v>
      </c>
      <c r="R176" s="41">
        <v>0</v>
      </c>
      <c r="S176" s="41">
        <f>IFERROR(VLOOKUP($D$5:$D$260,List1!$AE$5:$AF$231,2,FALSE),0)</f>
        <v>100000</v>
      </c>
      <c r="T176" s="41">
        <f t="shared" si="19"/>
        <v>719129</v>
      </c>
      <c r="U176" s="41" t="str">
        <f>IFERROR(VLOOKUP(D176,List1!$P$5:$Q$110,2,FALSE),"0")</f>
        <v>0</v>
      </c>
      <c r="V176" s="41">
        <v>0</v>
      </c>
      <c r="W176" s="248">
        <v>0</v>
      </c>
      <c r="X176" s="211">
        <f t="shared" si="20"/>
        <v>719129</v>
      </c>
      <c r="Y176" s="219"/>
      <c r="Z176" s="80">
        <f>IFERROR(VLOOKUP($D$5:$D$260,#REF!,3,FALSE),0)</f>
        <v>0</v>
      </c>
      <c r="AA176" s="80">
        <f>IFERROR(VLOOKUP($D$5:$D$260,#REF!,3,FALSE),0)</f>
        <v>0</v>
      </c>
      <c r="AB176" s="243">
        <v>0</v>
      </c>
      <c r="AC176" s="202">
        <f t="shared" si="21"/>
        <v>0</v>
      </c>
      <c r="AD176" s="259">
        <f t="shared" si="22"/>
        <v>0</v>
      </c>
      <c r="AE176" s="260">
        <f t="shared" si="23"/>
        <v>0</v>
      </c>
      <c r="AF176" s="260">
        <f t="shared" si="24"/>
        <v>0</v>
      </c>
      <c r="AG176" s="260">
        <f t="shared" si="25"/>
        <v>0</v>
      </c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  <c r="IT176" s="13"/>
      <c r="IU176" s="13"/>
      <c r="IV176" s="13"/>
      <c r="IW176" s="13"/>
      <c r="IX176" s="13"/>
      <c r="IY176" s="13"/>
      <c r="IZ176" s="13"/>
      <c r="JA176" s="13"/>
      <c r="JB176" s="13"/>
      <c r="JC176" s="13"/>
      <c r="JD176" s="13"/>
      <c r="JE176" s="13"/>
      <c r="JF176" s="13"/>
      <c r="JG176" s="13"/>
      <c r="JH176" s="13"/>
      <c r="JI176" s="13"/>
      <c r="JJ176" s="13"/>
      <c r="JK176" s="13"/>
      <c r="JL176" s="13"/>
      <c r="JM176" s="13"/>
      <c r="JN176" s="13"/>
      <c r="JO176" s="13"/>
      <c r="JP176" s="13"/>
      <c r="JQ176" s="13"/>
      <c r="JR176" s="13"/>
      <c r="JS176" s="13"/>
      <c r="JT176" s="13"/>
      <c r="JU176" s="13"/>
      <c r="JV176" s="13"/>
      <c r="JW176" s="13"/>
      <c r="JX176" s="13"/>
      <c r="JY176" s="13"/>
      <c r="JZ176" s="13"/>
      <c r="KA176" s="13"/>
      <c r="KB176" s="13"/>
      <c r="KC176" s="13"/>
      <c r="KD176" s="13"/>
      <c r="KE176" s="13"/>
      <c r="KF176" s="13"/>
      <c r="KG176" s="13"/>
      <c r="KH176" s="13"/>
      <c r="KI176" s="13"/>
      <c r="KJ176" s="13"/>
      <c r="KK176" s="13"/>
      <c r="KL176" s="13"/>
      <c r="KM176" s="13"/>
      <c r="KN176" s="13"/>
      <c r="KO176" s="13"/>
      <c r="KP176" s="13"/>
      <c r="KQ176" s="13"/>
      <c r="KR176" s="13"/>
      <c r="KS176" s="13"/>
      <c r="KT176" s="13"/>
      <c r="KU176" s="13"/>
      <c r="KV176" s="13"/>
      <c r="KW176" s="13"/>
      <c r="KX176" s="13"/>
      <c r="KY176" s="13"/>
      <c r="KZ176" s="13"/>
      <c r="LA176" s="13"/>
      <c r="LB176" s="13"/>
      <c r="LC176" s="13"/>
      <c r="LD176" s="13"/>
      <c r="LE176" s="13"/>
      <c r="LF176" s="13"/>
      <c r="LG176" s="13"/>
      <c r="LH176" s="13"/>
      <c r="LI176" s="13"/>
      <c r="LJ176" s="13"/>
      <c r="LK176" s="13"/>
      <c r="LL176" s="13"/>
      <c r="LM176" s="13"/>
      <c r="LN176" s="13"/>
      <c r="LO176" s="13"/>
      <c r="LP176" s="13"/>
      <c r="LQ176" s="13"/>
      <c r="LR176" s="13"/>
      <c r="LS176" s="13"/>
      <c r="LT176" s="13"/>
      <c r="LU176" s="13"/>
      <c r="LV176" s="13"/>
      <c r="LW176" s="13"/>
      <c r="LX176" s="13"/>
      <c r="LY176" s="13"/>
      <c r="LZ176" s="13"/>
      <c r="MA176" s="13"/>
      <c r="MB176" s="13"/>
      <c r="MC176" s="13"/>
      <c r="MD176" s="13"/>
      <c r="ME176" s="13"/>
      <c r="MF176" s="13"/>
      <c r="MG176" s="13"/>
      <c r="MH176" s="13"/>
      <c r="MI176" s="13"/>
      <c r="MJ176" s="13"/>
      <c r="MK176" s="13"/>
      <c r="ML176" s="13"/>
      <c r="MM176" s="13"/>
      <c r="MN176" s="13"/>
      <c r="MO176" s="13"/>
      <c r="MP176" s="13"/>
      <c r="MQ176" s="13"/>
      <c r="MR176" s="13"/>
      <c r="MS176" s="13"/>
      <c r="MT176" s="13"/>
      <c r="MU176" s="13"/>
      <c r="MV176" s="13"/>
      <c r="MW176" s="13"/>
      <c r="MX176" s="13"/>
      <c r="MY176" s="13"/>
      <c r="MZ176" s="13"/>
      <c r="NA176" s="13"/>
      <c r="NB176" s="13"/>
      <c r="NC176" s="13"/>
      <c r="ND176" s="13"/>
      <c r="NE176" s="13"/>
      <c r="NF176" s="13"/>
      <c r="NG176" s="13"/>
      <c r="NH176" s="13"/>
      <c r="NI176" s="13"/>
      <c r="NJ176" s="13"/>
      <c r="NK176" s="13"/>
      <c r="NL176" s="13"/>
      <c r="NM176" s="13"/>
      <c r="NN176" s="13"/>
      <c r="NO176" s="13"/>
      <c r="NP176" s="13"/>
      <c r="NQ176" s="13"/>
      <c r="NR176" s="13"/>
      <c r="NS176" s="13"/>
      <c r="NT176" s="13"/>
      <c r="NU176" s="13"/>
      <c r="NV176" s="13"/>
      <c r="NW176" s="13"/>
      <c r="NX176" s="13"/>
      <c r="NY176" s="13"/>
      <c r="NZ176" s="13"/>
      <c r="OA176" s="13"/>
      <c r="OB176" s="13"/>
      <c r="OC176" s="13"/>
      <c r="OD176" s="13"/>
      <c r="OE176" s="13"/>
      <c r="OF176" s="13"/>
      <c r="OG176" s="13"/>
      <c r="OH176" s="13"/>
      <c r="OI176" s="13"/>
      <c r="OJ176" s="13"/>
      <c r="OK176" s="13"/>
      <c r="OL176" s="13"/>
      <c r="OM176" s="13"/>
      <c r="ON176" s="13"/>
      <c r="OO176" s="13"/>
      <c r="OP176" s="13"/>
      <c r="OQ176" s="13"/>
      <c r="OR176" s="13"/>
      <c r="OS176" s="13"/>
      <c r="OT176" s="13"/>
      <c r="OU176" s="13"/>
      <c r="OV176" s="13"/>
      <c r="OW176" s="13"/>
      <c r="OX176" s="13"/>
      <c r="OY176" s="13"/>
      <c r="OZ176" s="13"/>
      <c r="PA176" s="13"/>
      <c r="PB176" s="13"/>
      <c r="PC176" s="13"/>
      <c r="PD176" s="13"/>
      <c r="PE176" s="13"/>
      <c r="PF176" s="13"/>
      <c r="PG176" s="13"/>
      <c r="PH176" s="13"/>
      <c r="PI176" s="13"/>
      <c r="PJ176" s="13"/>
      <c r="PK176" s="13"/>
      <c r="PL176" s="13"/>
      <c r="PM176" s="13"/>
      <c r="PN176" s="13"/>
      <c r="PO176" s="13"/>
      <c r="PP176" s="13"/>
      <c r="PQ176" s="13"/>
      <c r="PR176" s="13"/>
      <c r="PS176" s="13"/>
      <c r="PT176" s="13"/>
      <c r="PU176" s="13"/>
      <c r="PV176" s="13"/>
      <c r="PW176" s="13"/>
      <c r="PX176" s="13"/>
      <c r="PY176" s="13"/>
      <c r="PZ176" s="13"/>
      <c r="QA176" s="13"/>
      <c r="QB176" s="13"/>
      <c r="QC176" s="13"/>
      <c r="QD176" s="13"/>
      <c r="QE176" s="13"/>
      <c r="QF176" s="13"/>
      <c r="QG176" s="13"/>
      <c r="QH176" s="13"/>
      <c r="QI176" s="13"/>
      <c r="QJ176" s="13"/>
      <c r="QK176" s="13"/>
      <c r="QL176" s="13"/>
      <c r="QM176" s="13"/>
      <c r="QN176" s="13"/>
      <c r="QO176" s="13"/>
      <c r="QP176" s="13"/>
      <c r="QQ176" s="13"/>
      <c r="QR176" s="13"/>
      <c r="QS176" s="13"/>
      <c r="QT176" s="13"/>
      <c r="QU176" s="13"/>
      <c r="QV176" s="13"/>
      <c r="QW176" s="13"/>
      <c r="QX176" s="13"/>
      <c r="QY176" s="13"/>
      <c r="QZ176" s="13"/>
      <c r="RA176" s="13"/>
      <c r="RB176" s="13"/>
      <c r="RC176" s="13"/>
      <c r="RD176" s="13"/>
      <c r="RE176" s="13"/>
      <c r="RF176" s="13"/>
      <c r="RG176" s="13"/>
      <c r="RH176" s="13"/>
      <c r="RI176" s="13"/>
      <c r="RJ176" s="13"/>
      <c r="RK176" s="13"/>
      <c r="RL176" s="13"/>
      <c r="RM176" s="13"/>
      <c r="RN176" s="13"/>
      <c r="RO176" s="13"/>
      <c r="RP176" s="13"/>
      <c r="RQ176" s="13"/>
      <c r="RR176" s="13"/>
      <c r="RS176" s="13"/>
      <c r="RT176" s="13"/>
      <c r="RU176" s="13"/>
      <c r="RV176" s="13"/>
      <c r="RW176" s="13"/>
      <c r="RX176" s="13"/>
      <c r="RY176" s="13"/>
      <c r="RZ176" s="13"/>
      <c r="SA176" s="13"/>
      <c r="SB176" s="13"/>
      <c r="SC176" s="13"/>
      <c r="SD176" s="13"/>
      <c r="SE176" s="13"/>
      <c r="SF176" s="13"/>
      <c r="SG176" s="13"/>
      <c r="SH176" s="13"/>
      <c r="SI176" s="13"/>
      <c r="SJ176" s="13"/>
      <c r="SK176" s="13"/>
      <c r="SL176" s="13"/>
      <c r="SM176" s="13"/>
      <c r="SN176" s="13"/>
      <c r="SO176" s="13"/>
      <c r="SP176" s="13"/>
      <c r="SQ176" s="13"/>
      <c r="SR176" s="13"/>
      <c r="SS176" s="13"/>
      <c r="ST176" s="13"/>
      <c r="SU176" s="13"/>
      <c r="SV176" s="13"/>
      <c r="SW176" s="13"/>
      <c r="SX176" s="13"/>
      <c r="SY176" s="13"/>
      <c r="SZ176" s="13"/>
      <c r="TA176" s="13"/>
      <c r="TB176" s="13"/>
      <c r="TC176" s="13"/>
      <c r="TD176" s="13"/>
      <c r="TE176" s="13"/>
      <c r="TF176" s="13"/>
      <c r="TG176" s="13"/>
      <c r="TH176" s="13"/>
      <c r="TI176" s="13"/>
      <c r="TJ176" s="13"/>
      <c r="TK176" s="13"/>
      <c r="TL176" s="13"/>
      <c r="TM176" s="13"/>
      <c r="TN176" s="13"/>
      <c r="TO176" s="13"/>
      <c r="TP176" s="13"/>
      <c r="TQ176" s="13"/>
      <c r="TR176" s="13"/>
      <c r="TS176" s="13"/>
      <c r="TT176" s="13"/>
      <c r="TU176" s="13"/>
      <c r="TV176" s="13"/>
      <c r="TW176" s="13"/>
      <c r="TX176" s="13"/>
      <c r="TY176" s="13"/>
      <c r="TZ176" s="13"/>
      <c r="UA176" s="13"/>
      <c r="UB176" s="13"/>
      <c r="UC176" s="13"/>
      <c r="UD176" s="13"/>
      <c r="UE176" s="13"/>
      <c r="UF176" s="13"/>
      <c r="UG176" s="13"/>
      <c r="UH176" s="13"/>
      <c r="UI176" s="13"/>
      <c r="UJ176" s="13"/>
      <c r="UK176" s="13"/>
      <c r="UL176" s="13"/>
      <c r="UM176" s="13"/>
      <c r="UN176" s="13"/>
      <c r="UO176" s="13"/>
      <c r="UP176" s="13"/>
      <c r="UQ176" s="13"/>
      <c r="UR176" s="13"/>
      <c r="US176" s="13"/>
      <c r="UT176" s="13"/>
      <c r="UU176" s="13"/>
      <c r="UV176" s="13"/>
      <c r="UW176" s="13"/>
      <c r="UX176" s="13"/>
      <c r="UY176" s="13"/>
      <c r="UZ176" s="13"/>
      <c r="VA176" s="13"/>
      <c r="VB176" s="13"/>
      <c r="VC176" s="13"/>
      <c r="VD176" s="13"/>
      <c r="VE176" s="13"/>
      <c r="VF176" s="13"/>
      <c r="VG176" s="13"/>
      <c r="VH176" s="13"/>
      <c r="VI176" s="13"/>
      <c r="VJ176" s="13"/>
      <c r="VK176" s="13"/>
      <c r="VL176" s="13"/>
      <c r="VM176" s="13"/>
      <c r="VN176" s="13"/>
      <c r="VO176" s="13"/>
      <c r="VP176" s="13"/>
      <c r="VQ176" s="13"/>
      <c r="VR176" s="13"/>
      <c r="VS176" s="13"/>
      <c r="VT176" s="13"/>
    </row>
    <row r="177" spans="1:592" s="13" customFormat="1" ht="21" x14ac:dyDescent="0.2">
      <c r="A177" s="10" t="s">
        <v>424</v>
      </c>
      <c r="B177" s="15" t="s">
        <v>425</v>
      </c>
      <c r="C177" s="11" t="s">
        <v>379</v>
      </c>
      <c r="D177" s="11">
        <v>3005927</v>
      </c>
      <c r="E177" s="225" t="s">
        <v>325</v>
      </c>
      <c r="F177" s="192" t="s">
        <v>294</v>
      </c>
      <c r="G177" s="201">
        <f>IFERROR(VLOOKUP(D177,List1!$A$5:$B$227,2,FALSE),"0")</f>
        <v>338000</v>
      </c>
      <c r="H177" s="41" t="str">
        <f>IFERROR(VLOOKUP(D177,List1!$D$5:$E$41,2,FALSE),"0")</f>
        <v>0</v>
      </c>
      <c r="I177" s="41" t="str">
        <f>IFERROR(VLOOKUP(D177,List1!$G$5:$H$227,2,FALSE),"0")</f>
        <v>0</v>
      </c>
      <c r="J177" s="40">
        <f t="shared" si="18"/>
        <v>338000</v>
      </c>
      <c r="K177" s="41" t="str">
        <f>IFERROR(VLOOKUP(D177,List1!$J$5:$K$227,2,FALSE),"0")</f>
        <v>0</v>
      </c>
      <c r="L177" s="41" t="str">
        <f>IFERROR(VLOOKUP(D177,List1!$M$5:$N$112,2,FALSE),"0")</f>
        <v>0</v>
      </c>
      <c r="M177" s="43">
        <v>0</v>
      </c>
      <c r="N177" s="80">
        <f>VLOOKUP($D$5:$D$251,List2!$A$2:$B$241,2,FALSE)</f>
        <v>0</v>
      </c>
      <c r="O177" s="80">
        <f>IFERROR(VLOOKUP($D$5:$D$260,List1!$Y$5:$Z$244,2,FALSE),0)</f>
        <v>0</v>
      </c>
      <c r="P177" s="202">
        <f>IFERROR(VLOOKUP($D$5:$D$260,List1!$AB$5:$AC$244,2,FALSE),0)</f>
        <v>0</v>
      </c>
      <c r="Q177" s="201">
        <f>IFERROR(VLOOKUP($D$5:$D$260,List1!$S$5:$T$231,2,FALSE),0)</f>
        <v>353315</v>
      </c>
      <c r="R177" s="41">
        <v>0</v>
      </c>
      <c r="S177" s="41">
        <f>IFERROR(VLOOKUP($D$5:$D$260,List1!$AE$5:$AF$231,2,FALSE),0)</f>
        <v>50000</v>
      </c>
      <c r="T177" s="41">
        <f t="shared" si="19"/>
        <v>403315</v>
      </c>
      <c r="U177" s="41" t="str">
        <f>IFERROR(VLOOKUP(D177,List1!$P$5:$Q$110,2,FALSE),"0")</f>
        <v>0</v>
      </c>
      <c r="V177" s="41">
        <v>0</v>
      </c>
      <c r="W177" s="248">
        <v>0</v>
      </c>
      <c r="X177" s="211">
        <f t="shared" si="20"/>
        <v>403315</v>
      </c>
      <c r="Y177" s="219"/>
      <c r="Z177" s="80">
        <f>IFERROR(VLOOKUP($D$5:$D$260,#REF!,3,FALSE),0)</f>
        <v>0</v>
      </c>
      <c r="AA177" s="80">
        <f>IFERROR(VLOOKUP($D$5:$D$260,#REF!,3,FALSE),0)</f>
        <v>0</v>
      </c>
      <c r="AB177" s="243">
        <v>0</v>
      </c>
      <c r="AC177" s="202">
        <f t="shared" si="21"/>
        <v>0</v>
      </c>
      <c r="AD177" s="259">
        <f t="shared" si="22"/>
        <v>0</v>
      </c>
      <c r="AE177" s="260">
        <f t="shared" si="23"/>
        <v>0</v>
      </c>
      <c r="AF177" s="260">
        <f t="shared" si="24"/>
        <v>0</v>
      </c>
      <c r="AG177" s="260">
        <f t="shared" si="25"/>
        <v>0</v>
      </c>
    </row>
    <row r="178" spans="1:592" s="13" customFormat="1" ht="21" x14ac:dyDescent="0.2">
      <c r="A178" s="10" t="s">
        <v>426</v>
      </c>
      <c r="B178" s="15" t="s">
        <v>427</v>
      </c>
      <c r="C178" s="11" t="s">
        <v>379</v>
      </c>
      <c r="D178" s="11">
        <v>3977219</v>
      </c>
      <c r="E178" s="225" t="s">
        <v>325</v>
      </c>
      <c r="F178" s="192" t="s">
        <v>294</v>
      </c>
      <c r="G178" s="201">
        <f>IFERROR(VLOOKUP(D178,List1!$A$5:$B$227,2,FALSE),"0")</f>
        <v>313000</v>
      </c>
      <c r="H178" s="41" t="str">
        <f>IFERROR(VLOOKUP(D178,List1!$D$5:$E$41,2,FALSE),"0")</f>
        <v>0</v>
      </c>
      <c r="I178" s="41" t="str">
        <f>IFERROR(VLOOKUP(D178,List1!$G$5:$H$227,2,FALSE),"0")</f>
        <v>0</v>
      </c>
      <c r="J178" s="40">
        <f t="shared" si="18"/>
        <v>313000</v>
      </c>
      <c r="K178" s="41" t="str">
        <f>IFERROR(VLOOKUP(D178,List1!$J$5:$K$227,2,FALSE),"0")</f>
        <v>0</v>
      </c>
      <c r="L178" s="41" t="str">
        <f>IFERROR(VLOOKUP(D178,List1!$M$5:$N$112,2,FALSE),"0")</f>
        <v>0</v>
      </c>
      <c r="M178" s="43">
        <v>0</v>
      </c>
      <c r="N178" s="80">
        <f>VLOOKUP($D$5:$D$251,List2!$A$2:$B$241,2,FALSE)</f>
        <v>0</v>
      </c>
      <c r="O178" s="80">
        <f>IFERROR(VLOOKUP($D$5:$D$260,List1!$Y$5:$Z$244,2,FALSE),0)</f>
        <v>0</v>
      </c>
      <c r="P178" s="202">
        <f>IFERROR(VLOOKUP($D$5:$D$260,List1!$AB$5:$AC$244,2,FALSE),0)</f>
        <v>0</v>
      </c>
      <c r="Q178" s="201">
        <f>IFERROR(VLOOKUP($D$5:$D$260,List1!$S$5:$T$231,2,FALSE),0)</f>
        <v>307230</v>
      </c>
      <c r="R178" s="41">
        <v>0</v>
      </c>
      <c r="S178" s="41">
        <f>IFERROR(VLOOKUP($D$5:$D$260,List1!$AE$5:$AF$231,2,FALSE),0)</f>
        <v>50000</v>
      </c>
      <c r="T178" s="41">
        <f t="shared" si="19"/>
        <v>357230</v>
      </c>
      <c r="U178" s="41" t="str">
        <f>IFERROR(VLOOKUP(D178,List1!$P$5:$Q$110,2,FALSE),"0")</f>
        <v>0</v>
      </c>
      <c r="V178" s="41">
        <v>0</v>
      </c>
      <c r="W178" s="248">
        <v>0</v>
      </c>
      <c r="X178" s="211">
        <f t="shared" si="20"/>
        <v>357230</v>
      </c>
      <c r="Y178" s="219"/>
      <c r="Z178" s="80">
        <f>IFERROR(VLOOKUP($D$5:$D$260,#REF!,3,FALSE),0)</f>
        <v>0</v>
      </c>
      <c r="AA178" s="80">
        <f>IFERROR(VLOOKUP($D$5:$D$260,#REF!,3,FALSE),0)</f>
        <v>0</v>
      </c>
      <c r="AB178" s="243">
        <v>0</v>
      </c>
      <c r="AC178" s="202">
        <f t="shared" si="21"/>
        <v>0</v>
      </c>
      <c r="AD178" s="259">
        <f t="shared" si="22"/>
        <v>0</v>
      </c>
      <c r="AE178" s="260">
        <f t="shared" si="23"/>
        <v>0</v>
      </c>
      <c r="AF178" s="260">
        <f t="shared" si="24"/>
        <v>0</v>
      </c>
      <c r="AG178" s="260">
        <f t="shared" si="25"/>
        <v>0</v>
      </c>
    </row>
    <row r="179" spans="1:592" s="13" customFormat="1" ht="21" x14ac:dyDescent="0.2">
      <c r="A179" s="10" t="s">
        <v>428</v>
      </c>
      <c r="B179" s="15" t="s">
        <v>429</v>
      </c>
      <c r="C179" s="11" t="s">
        <v>379</v>
      </c>
      <c r="D179" s="11">
        <v>7923702</v>
      </c>
      <c r="E179" s="225" t="s">
        <v>325</v>
      </c>
      <c r="F179" s="192" t="s">
        <v>294</v>
      </c>
      <c r="G179" s="201" t="str">
        <f>IFERROR(VLOOKUP(D179,List1!$A$5:$B$227,2,FALSE),"0")</f>
        <v>0</v>
      </c>
      <c r="H179" s="41" t="str">
        <f>IFERROR(VLOOKUP(D179,List1!$D$5:$E$41,2,FALSE),"0")</f>
        <v>0</v>
      </c>
      <c r="I179" s="41" t="str">
        <f>IFERROR(VLOOKUP(D179,List1!$G$5:$H$227,2,FALSE),"0")</f>
        <v>0</v>
      </c>
      <c r="J179" s="40">
        <f t="shared" si="18"/>
        <v>0</v>
      </c>
      <c r="K179" s="41" t="str">
        <f>IFERROR(VLOOKUP(D179,List1!$J$5:$K$227,2,FALSE),"0")</f>
        <v>0</v>
      </c>
      <c r="L179" s="41" t="str">
        <f>IFERROR(VLOOKUP(D179,List1!$M$5:$N$112,2,FALSE),"0")</f>
        <v>0</v>
      </c>
      <c r="M179" s="43">
        <v>0</v>
      </c>
      <c r="N179" s="80">
        <f>VLOOKUP($D$5:$D$251,List2!$A$2:$B$241,2,FALSE)</f>
        <v>0</v>
      </c>
      <c r="O179" s="80">
        <f>IFERROR(VLOOKUP($D$5:$D$260,List1!$Y$5:$Z$244,2,FALSE),0)</f>
        <v>0</v>
      </c>
      <c r="P179" s="202">
        <f>IFERROR(VLOOKUP($D$5:$D$260,List1!$AB$5:$AC$244,2,FALSE),0)</f>
        <v>0</v>
      </c>
      <c r="Q179" s="201">
        <f>IFERROR(VLOOKUP($D$5:$D$260,List1!$S$5:$T$231,2,FALSE),0)</f>
        <v>0</v>
      </c>
      <c r="R179" s="41">
        <v>0</v>
      </c>
      <c r="S179" s="41">
        <f>IFERROR(VLOOKUP($D$5:$D$260,List1!$AE$5:$AF$231,2,FALSE),0)</f>
        <v>0</v>
      </c>
      <c r="T179" s="41">
        <f t="shared" si="19"/>
        <v>0</v>
      </c>
      <c r="U179" s="41" t="str">
        <f>IFERROR(VLOOKUP(D179,List1!$P$5:$Q$110,2,FALSE),"0")</f>
        <v>0</v>
      </c>
      <c r="V179" s="41">
        <v>0</v>
      </c>
      <c r="W179" s="248">
        <v>0</v>
      </c>
      <c r="X179" s="211">
        <f t="shared" si="20"/>
        <v>0</v>
      </c>
      <c r="Y179" s="219"/>
      <c r="Z179" s="80">
        <f>IFERROR(VLOOKUP($D$5:$D$260,#REF!,3,FALSE),0)</f>
        <v>0</v>
      </c>
      <c r="AA179" s="80">
        <f>IFERROR(VLOOKUP($D$5:$D$260,#REF!,3,FALSE),0)</f>
        <v>0</v>
      </c>
      <c r="AB179" s="243">
        <v>0</v>
      </c>
      <c r="AC179" s="202">
        <f t="shared" si="21"/>
        <v>0</v>
      </c>
      <c r="AD179" s="259">
        <f t="shared" si="22"/>
        <v>0</v>
      </c>
      <c r="AE179" s="260">
        <f t="shared" si="23"/>
        <v>0</v>
      </c>
      <c r="AF179" s="260">
        <f t="shared" si="24"/>
        <v>0</v>
      </c>
      <c r="AG179" s="260">
        <f t="shared" si="25"/>
        <v>0</v>
      </c>
    </row>
    <row r="180" spans="1:592" s="13" customFormat="1" ht="31.5" x14ac:dyDescent="0.2">
      <c r="A180" s="10" t="s">
        <v>146</v>
      </c>
      <c r="B180" s="15" t="s">
        <v>430</v>
      </c>
      <c r="C180" s="11" t="s">
        <v>340</v>
      </c>
      <c r="D180" s="11">
        <v>2584331</v>
      </c>
      <c r="E180" s="228" t="s">
        <v>314</v>
      </c>
      <c r="F180" s="192" t="s">
        <v>300</v>
      </c>
      <c r="G180" s="201">
        <f>IFERROR(VLOOKUP(D180,List1!$A$5:$B$227,2,FALSE),"0")</f>
        <v>1474000</v>
      </c>
      <c r="H180" s="41" t="str">
        <f>IFERROR(VLOOKUP(D180,List1!$D$5:$E$41,2,FALSE),"0")</f>
        <v>0</v>
      </c>
      <c r="I180" s="41">
        <f>IFERROR(VLOOKUP(D180,List1!$G$5:$H$227,2,FALSE),"0")</f>
        <v>296375</v>
      </c>
      <c r="J180" s="40">
        <f t="shared" si="18"/>
        <v>1770375</v>
      </c>
      <c r="K180" s="41">
        <f>IFERROR(VLOOKUP(D180,List1!$J$5:$K$227,2,FALSE),"0")</f>
        <v>64000</v>
      </c>
      <c r="L180" s="41">
        <f>IFERROR(VLOOKUP(D180,List1!$M$5:$N$112,2,FALSE),"0")</f>
        <v>27000</v>
      </c>
      <c r="M180" s="43">
        <v>0</v>
      </c>
      <c r="N180" s="80">
        <f>VLOOKUP($D$5:$D$251,List2!$A$2:$B$241,2,FALSE)</f>
        <v>169000</v>
      </c>
      <c r="O180" s="80">
        <f>IFERROR(VLOOKUP($D$5:$D$260,List1!$Y$5:$Z$244,2,FALSE),0)</f>
        <v>0</v>
      </c>
      <c r="P180" s="202">
        <f>IFERROR(VLOOKUP($D$5:$D$260,List1!$AB$5:$AC$244,2,FALSE),0)</f>
        <v>0</v>
      </c>
      <c r="Q180" s="201">
        <f>IFERROR(VLOOKUP($D$5:$D$260,List1!$S$5:$T$231,2,FALSE),0)</f>
        <v>1410188</v>
      </c>
      <c r="R180" s="41">
        <v>0</v>
      </c>
      <c r="S180" s="41">
        <f>IFERROR(VLOOKUP($D$5:$D$260,List1!$AE$5:$AF$231,2,FALSE),0)</f>
        <v>400000</v>
      </c>
      <c r="T180" s="41">
        <f t="shared" si="19"/>
        <v>1810188</v>
      </c>
      <c r="U180" s="41">
        <f>IFERROR(VLOOKUP(D180,List1!$P$5:$Q$110,2,FALSE),"0")</f>
        <v>174000</v>
      </c>
      <c r="V180" s="41">
        <v>0</v>
      </c>
      <c r="W180" s="248">
        <v>0</v>
      </c>
      <c r="X180" s="211">
        <f t="shared" si="20"/>
        <v>1984188</v>
      </c>
      <c r="Y180" s="219"/>
      <c r="Z180" s="80">
        <f>IFERROR(VLOOKUP($D$5:$D$260,#REF!,3,FALSE),0)</f>
        <v>0</v>
      </c>
      <c r="AA180" s="80">
        <f>IFERROR(VLOOKUP($D$5:$D$260,#REF!,3,FALSE),0)</f>
        <v>0</v>
      </c>
      <c r="AB180" s="243">
        <v>0</v>
      </c>
      <c r="AC180" s="202">
        <f t="shared" si="21"/>
        <v>0</v>
      </c>
      <c r="AD180" s="259">
        <f t="shared" si="22"/>
        <v>-174000</v>
      </c>
      <c r="AE180" s="260">
        <f t="shared" si="23"/>
        <v>-1</v>
      </c>
      <c r="AF180" s="260">
        <f t="shared" si="24"/>
        <v>-1</v>
      </c>
      <c r="AG180" s="260">
        <f t="shared" si="25"/>
        <v>-1</v>
      </c>
    </row>
    <row r="181" spans="1:592" s="13" customFormat="1" ht="31.5" x14ac:dyDescent="0.2">
      <c r="A181" s="10" t="s">
        <v>431</v>
      </c>
      <c r="B181" s="11">
        <v>26520699</v>
      </c>
      <c r="C181" s="11" t="s">
        <v>340</v>
      </c>
      <c r="D181" s="11">
        <v>6940940</v>
      </c>
      <c r="E181" s="225" t="s">
        <v>285</v>
      </c>
      <c r="F181" s="192" t="s">
        <v>278</v>
      </c>
      <c r="G181" s="201">
        <f>IFERROR(VLOOKUP(D181,List1!$A$5:$B$227,2,FALSE),"0")</f>
        <v>3332000</v>
      </c>
      <c r="H181" s="41" t="str">
        <f>IFERROR(VLOOKUP(D181,List1!$D$5:$E$41,2,FALSE),"0")</f>
        <v>0</v>
      </c>
      <c r="I181" s="41">
        <f>IFERROR(VLOOKUP(D181,List1!$G$5:$H$227,2,FALSE),"0")</f>
        <v>506467</v>
      </c>
      <c r="J181" s="40">
        <f t="shared" si="18"/>
        <v>3838467</v>
      </c>
      <c r="K181" s="41">
        <f>IFERROR(VLOOKUP(D181,List1!$J$5:$K$227,2,FALSE),"0")</f>
        <v>202000</v>
      </c>
      <c r="L181" s="41">
        <f>IFERROR(VLOOKUP(D181,List1!$M$5:$N$112,2,FALSE),"0")</f>
        <v>85000</v>
      </c>
      <c r="M181" s="43">
        <v>0</v>
      </c>
      <c r="N181" s="80">
        <f>VLOOKUP($D$5:$D$251,List2!$A$2:$B$241,2,FALSE)</f>
        <v>360000</v>
      </c>
      <c r="O181" s="80">
        <f>IFERROR(VLOOKUP($D$5:$D$260,List1!$Y$5:$Z$244,2,FALSE),0)</f>
        <v>0</v>
      </c>
      <c r="P181" s="202">
        <f>IFERROR(VLOOKUP($D$5:$D$260,List1!$AB$5:$AC$244,2,FALSE),0)</f>
        <v>0</v>
      </c>
      <c r="Q181" s="201">
        <f>IFERROR(VLOOKUP($D$5:$D$260,List1!$S$5:$T$231,2,FALSE),0)</f>
        <v>3239745</v>
      </c>
      <c r="R181" s="41">
        <v>0</v>
      </c>
      <c r="S181" s="41">
        <f>IFERROR(VLOOKUP($D$5:$D$260,List1!$AE$5:$AF$231,2,FALSE),0)</f>
        <v>484611</v>
      </c>
      <c r="T181" s="41">
        <f t="shared" si="19"/>
        <v>3724356</v>
      </c>
      <c r="U181" s="41">
        <f>IFERROR(VLOOKUP(D181,List1!$P$5:$Q$110,2,FALSE),"0")</f>
        <v>490000</v>
      </c>
      <c r="V181" s="41">
        <v>0</v>
      </c>
      <c r="W181" s="248">
        <v>0</v>
      </c>
      <c r="X181" s="211">
        <f t="shared" si="20"/>
        <v>4214356</v>
      </c>
      <c r="Y181" s="219"/>
      <c r="Z181" s="80">
        <f>IFERROR(VLOOKUP($D$5:$D$260,#REF!,3,FALSE),0)</f>
        <v>0</v>
      </c>
      <c r="AA181" s="80">
        <f>IFERROR(VLOOKUP($D$5:$D$260,#REF!,3,FALSE),0)</f>
        <v>0</v>
      </c>
      <c r="AB181" s="243">
        <v>0</v>
      </c>
      <c r="AC181" s="202">
        <f t="shared" si="21"/>
        <v>0</v>
      </c>
      <c r="AD181" s="259">
        <f t="shared" si="22"/>
        <v>-490000</v>
      </c>
      <c r="AE181" s="260">
        <f t="shared" si="23"/>
        <v>-1</v>
      </c>
      <c r="AF181" s="260">
        <f t="shared" si="24"/>
        <v>-1</v>
      </c>
      <c r="AG181" s="260">
        <f t="shared" si="25"/>
        <v>-1</v>
      </c>
    </row>
    <row r="182" spans="1:592" s="13" customFormat="1" ht="31.5" x14ac:dyDescent="0.2">
      <c r="A182" s="10" t="s">
        <v>431</v>
      </c>
      <c r="B182" s="11">
        <v>26520699</v>
      </c>
      <c r="C182" s="11" t="s">
        <v>340</v>
      </c>
      <c r="D182" s="11">
        <v>3146268</v>
      </c>
      <c r="E182" s="228" t="s">
        <v>364</v>
      </c>
      <c r="F182" s="192" t="s">
        <v>278</v>
      </c>
      <c r="G182" s="201">
        <f>IFERROR(VLOOKUP(D182,List1!$A$5:$B$227,2,FALSE),"0")</f>
        <v>1691000</v>
      </c>
      <c r="H182" s="41" t="str">
        <f>IFERROR(VLOOKUP(D182,List1!$D$5:$E$41,2,FALSE),"0")</f>
        <v>0</v>
      </c>
      <c r="I182" s="41">
        <f>IFERROR(VLOOKUP(D182,List1!$G$5:$H$227,2,FALSE),"0")</f>
        <v>510000</v>
      </c>
      <c r="J182" s="40">
        <f t="shared" si="18"/>
        <v>2201000</v>
      </c>
      <c r="K182" s="41">
        <f>IFERROR(VLOOKUP(D182,List1!$J$5:$K$227,2,FALSE),"0")</f>
        <v>139000</v>
      </c>
      <c r="L182" s="41">
        <f>IFERROR(VLOOKUP(D182,List1!$M$5:$N$112,2,FALSE),"0")</f>
        <v>58000</v>
      </c>
      <c r="M182" s="43">
        <v>0</v>
      </c>
      <c r="N182" s="80">
        <f>VLOOKUP($D$5:$D$251,List2!$A$2:$B$241,2,FALSE)</f>
        <v>509030</v>
      </c>
      <c r="O182" s="80">
        <f>IFERROR(VLOOKUP($D$5:$D$260,List1!$Y$5:$Z$244,2,FALSE),0)</f>
        <v>0</v>
      </c>
      <c r="P182" s="202">
        <f>IFERROR(VLOOKUP($D$5:$D$260,List1!$AB$5:$AC$244,2,FALSE),0)</f>
        <v>0</v>
      </c>
      <c r="Q182" s="201">
        <f>IFERROR(VLOOKUP($D$5:$D$260,List1!$S$5:$T$231,2,FALSE),0)</f>
        <v>1606047</v>
      </c>
      <c r="R182" s="41">
        <v>0</v>
      </c>
      <c r="S182" s="41">
        <f>IFERROR(VLOOKUP($D$5:$D$260,List1!$AE$5:$AF$231,2,FALSE),0)</f>
        <v>100000</v>
      </c>
      <c r="T182" s="41">
        <f t="shared" si="19"/>
        <v>1706047</v>
      </c>
      <c r="U182" s="41">
        <f>IFERROR(VLOOKUP(D182,List1!$P$5:$Q$110,2,FALSE),"0")</f>
        <v>261000</v>
      </c>
      <c r="V182" s="41">
        <v>0</v>
      </c>
      <c r="W182" s="248">
        <v>0</v>
      </c>
      <c r="X182" s="211">
        <f t="shared" si="20"/>
        <v>1967047</v>
      </c>
      <c r="Y182" s="219"/>
      <c r="Z182" s="80">
        <f>IFERROR(VLOOKUP($D$5:$D$260,#REF!,3,FALSE),0)</f>
        <v>0</v>
      </c>
      <c r="AA182" s="80">
        <f>IFERROR(VLOOKUP($D$5:$D$260,#REF!,3,FALSE),0)</f>
        <v>0</v>
      </c>
      <c r="AB182" s="243">
        <v>0</v>
      </c>
      <c r="AC182" s="202">
        <f t="shared" si="21"/>
        <v>0</v>
      </c>
      <c r="AD182" s="259">
        <f t="shared" si="22"/>
        <v>-261000</v>
      </c>
      <c r="AE182" s="260">
        <f t="shared" si="23"/>
        <v>-1</v>
      </c>
      <c r="AF182" s="260">
        <f t="shared" si="24"/>
        <v>-1</v>
      </c>
      <c r="AG182" s="260">
        <f t="shared" si="25"/>
        <v>-1</v>
      </c>
    </row>
    <row r="183" spans="1:592" s="20" customFormat="1" ht="31.5" x14ac:dyDescent="0.2">
      <c r="A183" s="10" t="s">
        <v>431</v>
      </c>
      <c r="B183" s="11">
        <v>26520699</v>
      </c>
      <c r="C183" s="11" t="s">
        <v>340</v>
      </c>
      <c r="D183" s="11">
        <v>9958898</v>
      </c>
      <c r="E183" s="228" t="s">
        <v>364</v>
      </c>
      <c r="F183" s="192" t="s">
        <v>278</v>
      </c>
      <c r="G183" s="201">
        <f>IFERROR(VLOOKUP(D183,List1!$A$5:$B$227,2,FALSE),"0")</f>
        <v>1655000</v>
      </c>
      <c r="H183" s="41" t="str">
        <f>IFERROR(VLOOKUP(D183,List1!$D$5:$E$41,2,FALSE),"0")</f>
        <v>0</v>
      </c>
      <c r="I183" s="41">
        <f>IFERROR(VLOOKUP(D183,List1!$G$5:$H$227,2,FALSE),"0")</f>
        <v>574560</v>
      </c>
      <c r="J183" s="40">
        <f t="shared" si="18"/>
        <v>2229560</v>
      </c>
      <c r="K183" s="41">
        <f>IFERROR(VLOOKUP(D183,List1!$J$5:$K$227,2,FALSE),"0")</f>
        <v>99000</v>
      </c>
      <c r="L183" s="41">
        <f>IFERROR(VLOOKUP(D183,List1!$M$5:$N$112,2,FALSE),"0")</f>
        <v>42000</v>
      </c>
      <c r="M183" s="43">
        <v>0</v>
      </c>
      <c r="N183" s="80">
        <f>VLOOKUP($D$5:$D$251,List2!$A$2:$B$241,2,FALSE)</f>
        <v>518892</v>
      </c>
      <c r="O183" s="80">
        <f>IFERROR(VLOOKUP($D$5:$D$260,List1!$Y$5:$Z$244,2,FALSE),0)</f>
        <v>0</v>
      </c>
      <c r="P183" s="202">
        <f>IFERROR(VLOOKUP($D$5:$D$260,List1!$AB$5:$AC$244,2,FALSE),0)</f>
        <v>0</v>
      </c>
      <c r="Q183" s="201">
        <f>IFERROR(VLOOKUP($D$5:$D$260,List1!$S$5:$T$231,2,FALSE),0)</f>
        <v>1606047</v>
      </c>
      <c r="R183" s="41">
        <v>0</v>
      </c>
      <c r="S183" s="41">
        <f>IFERROR(VLOOKUP($D$5:$D$260,List1!$AE$5:$AF$231,2,FALSE),0)</f>
        <v>100000</v>
      </c>
      <c r="T183" s="41">
        <f t="shared" si="19"/>
        <v>1706047</v>
      </c>
      <c r="U183" s="41">
        <f>IFERROR(VLOOKUP(D183,List1!$P$5:$Q$110,2,FALSE),"0")</f>
        <v>270000</v>
      </c>
      <c r="V183" s="41">
        <v>0</v>
      </c>
      <c r="W183" s="248">
        <v>0</v>
      </c>
      <c r="X183" s="211">
        <f t="shared" si="20"/>
        <v>1976047</v>
      </c>
      <c r="Y183" s="219"/>
      <c r="Z183" s="80">
        <f>IFERROR(VLOOKUP($D$5:$D$260,#REF!,3,FALSE),0)</f>
        <v>0</v>
      </c>
      <c r="AA183" s="80">
        <f>IFERROR(VLOOKUP($D$5:$D$260,#REF!,3,FALSE),0)</f>
        <v>0</v>
      </c>
      <c r="AB183" s="243">
        <v>0</v>
      </c>
      <c r="AC183" s="202">
        <f t="shared" si="21"/>
        <v>0</v>
      </c>
      <c r="AD183" s="259">
        <f t="shared" si="22"/>
        <v>-270000</v>
      </c>
      <c r="AE183" s="260">
        <f t="shared" si="23"/>
        <v>-1</v>
      </c>
      <c r="AF183" s="260">
        <f t="shared" si="24"/>
        <v>-1</v>
      </c>
      <c r="AG183" s="260">
        <f t="shared" si="25"/>
        <v>-1</v>
      </c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  <c r="IT183" s="13"/>
      <c r="IU183" s="13"/>
      <c r="IV183" s="13"/>
      <c r="IW183" s="13"/>
      <c r="IX183" s="13"/>
      <c r="IY183" s="13"/>
      <c r="IZ183" s="13"/>
      <c r="JA183" s="13"/>
      <c r="JB183" s="13"/>
      <c r="JC183" s="13"/>
      <c r="JD183" s="13"/>
      <c r="JE183" s="13"/>
      <c r="JF183" s="13"/>
      <c r="JG183" s="13"/>
      <c r="JH183" s="13"/>
      <c r="JI183" s="13"/>
      <c r="JJ183" s="13"/>
      <c r="JK183" s="13"/>
      <c r="JL183" s="13"/>
      <c r="JM183" s="13"/>
      <c r="JN183" s="13"/>
      <c r="JO183" s="13"/>
      <c r="JP183" s="13"/>
      <c r="JQ183" s="13"/>
      <c r="JR183" s="13"/>
      <c r="JS183" s="13"/>
      <c r="JT183" s="13"/>
      <c r="JU183" s="13"/>
      <c r="JV183" s="13"/>
      <c r="JW183" s="13"/>
      <c r="JX183" s="13"/>
      <c r="JY183" s="13"/>
      <c r="JZ183" s="13"/>
      <c r="KA183" s="13"/>
      <c r="KB183" s="13"/>
      <c r="KC183" s="13"/>
      <c r="KD183" s="13"/>
      <c r="KE183" s="13"/>
      <c r="KF183" s="13"/>
      <c r="KG183" s="13"/>
      <c r="KH183" s="13"/>
      <c r="KI183" s="13"/>
      <c r="KJ183" s="13"/>
      <c r="KK183" s="13"/>
      <c r="KL183" s="13"/>
      <c r="KM183" s="13"/>
      <c r="KN183" s="13"/>
      <c r="KO183" s="13"/>
      <c r="KP183" s="13"/>
      <c r="KQ183" s="13"/>
      <c r="KR183" s="13"/>
      <c r="KS183" s="13"/>
      <c r="KT183" s="13"/>
      <c r="KU183" s="13"/>
      <c r="KV183" s="13"/>
      <c r="KW183" s="13"/>
      <c r="KX183" s="13"/>
      <c r="KY183" s="13"/>
      <c r="KZ183" s="13"/>
      <c r="LA183" s="13"/>
      <c r="LB183" s="13"/>
      <c r="LC183" s="13"/>
      <c r="LD183" s="13"/>
      <c r="LE183" s="13"/>
      <c r="LF183" s="13"/>
      <c r="LG183" s="13"/>
      <c r="LH183" s="13"/>
      <c r="LI183" s="13"/>
      <c r="LJ183" s="13"/>
      <c r="LK183" s="13"/>
      <c r="LL183" s="13"/>
      <c r="LM183" s="13"/>
      <c r="LN183" s="13"/>
      <c r="LO183" s="13"/>
      <c r="LP183" s="13"/>
      <c r="LQ183" s="13"/>
      <c r="LR183" s="13"/>
      <c r="LS183" s="13"/>
      <c r="LT183" s="13"/>
      <c r="LU183" s="13"/>
      <c r="LV183" s="13"/>
      <c r="LW183" s="13"/>
      <c r="LX183" s="13"/>
      <c r="LY183" s="13"/>
      <c r="LZ183" s="13"/>
      <c r="MA183" s="13"/>
      <c r="MB183" s="13"/>
      <c r="MC183" s="13"/>
      <c r="MD183" s="13"/>
      <c r="ME183" s="13"/>
      <c r="MF183" s="13"/>
      <c r="MG183" s="13"/>
      <c r="MH183" s="13"/>
      <c r="MI183" s="13"/>
      <c r="MJ183" s="13"/>
      <c r="MK183" s="13"/>
      <c r="ML183" s="13"/>
      <c r="MM183" s="13"/>
      <c r="MN183" s="13"/>
      <c r="MO183" s="13"/>
      <c r="MP183" s="13"/>
      <c r="MQ183" s="13"/>
      <c r="MR183" s="13"/>
      <c r="MS183" s="13"/>
      <c r="MT183" s="13"/>
      <c r="MU183" s="13"/>
      <c r="MV183" s="13"/>
      <c r="MW183" s="13"/>
      <c r="MX183" s="13"/>
      <c r="MY183" s="13"/>
      <c r="MZ183" s="13"/>
      <c r="NA183" s="13"/>
      <c r="NB183" s="13"/>
      <c r="NC183" s="13"/>
      <c r="ND183" s="13"/>
      <c r="NE183" s="13"/>
      <c r="NF183" s="13"/>
      <c r="NG183" s="13"/>
      <c r="NH183" s="13"/>
      <c r="NI183" s="13"/>
      <c r="NJ183" s="13"/>
      <c r="NK183" s="13"/>
      <c r="NL183" s="13"/>
      <c r="NM183" s="13"/>
      <c r="NN183" s="13"/>
      <c r="NO183" s="13"/>
      <c r="NP183" s="13"/>
      <c r="NQ183" s="13"/>
      <c r="NR183" s="13"/>
      <c r="NS183" s="13"/>
      <c r="NT183" s="13"/>
      <c r="NU183" s="13"/>
      <c r="NV183" s="13"/>
      <c r="NW183" s="13"/>
      <c r="NX183" s="13"/>
      <c r="NY183" s="13"/>
      <c r="NZ183" s="13"/>
      <c r="OA183" s="13"/>
      <c r="OB183" s="13"/>
      <c r="OC183" s="13"/>
      <c r="OD183" s="13"/>
      <c r="OE183" s="13"/>
      <c r="OF183" s="13"/>
      <c r="OG183" s="13"/>
      <c r="OH183" s="13"/>
      <c r="OI183" s="13"/>
      <c r="OJ183" s="13"/>
      <c r="OK183" s="13"/>
      <c r="OL183" s="13"/>
      <c r="OM183" s="13"/>
      <c r="ON183" s="13"/>
      <c r="OO183" s="13"/>
      <c r="OP183" s="13"/>
      <c r="OQ183" s="13"/>
      <c r="OR183" s="13"/>
      <c r="OS183" s="13"/>
      <c r="OT183" s="13"/>
      <c r="OU183" s="13"/>
      <c r="OV183" s="13"/>
      <c r="OW183" s="13"/>
      <c r="OX183" s="13"/>
      <c r="OY183" s="13"/>
      <c r="OZ183" s="13"/>
      <c r="PA183" s="13"/>
      <c r="PB183" s="13"/>
      <c r="PC183" s="13"/>
      <c r="PD183" s="13"/>
      <c r="PE183" s="13"/>
      <c r="PF183" s="13"/>
      <c r="PG183" s="13"/>
      <c r="PH183" s="13"/>
      <c r="PI183" s="13"/>
      <c r="PJ183" s="13"/>
      <c r="PK183" s="13"/>
      <c r="PL183" s="13"/>
      <c r="PM183" s="13"/>
      <c r="PN183" s="13"/>
      <c r="PO183" s="13"/>
      <c r="PP183" s="13"/>
      <c r="PQ183" s="13"/>
      <c r="PR183" s="13"/>
      <c r="PS183" s="13"/>
      <c r="PT183" s="13"/>
      <c r="PU183" s="13"/>
      <c r="PV183" s="13"/>
      <c r="PW183" s="13"/>
      <c r="PX183" s="13"/>
      <c r="PY183" s="13"/>
      <c r="PZ183" s="13"/>
      <c r="QA183" s="13"/>
      <c r="QB183" s="13"/>
      <c r="QC183" s="13"/>
      <c r="QD183" s="13"/>
      <c r="QE183" s="13"/>
      <c r="QF183" s="13"/>
      <c r="QG183" s="13"/>
      <c r="QH183" s="13"/>
      <c r="QI183" s="13"/>
      <c r="QJ183" s="13"/>
      <c r="QK183" s="13"/>
      <c r="QL183" s="13"/>
      <c r="QM183" s="13"/>
      <c r="QN183" s="13"/>
      <c r="QO183" s="13"/>
      <c r="QP183" s="13"/>
      <c r="QQ183" s="13"/>
      <c r="QR183" s="13"/>
      <c r="QS183" s="13"/>
      <c r="QT183" s="13"/>
      <c r="QU183" s="13"/>
      <c r="QV183" s="13"/>
      <c r="QW183" s="13"/>
      <c r="QX183" s="13"/>
      <c r="QY183" s="13"/>
      <c r="QZ183" s="13"/>
      <c r="RA183" s="13"/>
      <c r="RB183" s="13"/>
      <c r="RC183" s="13"/>
      <c r="RD183" s="13"/>
      <c r="RE183" s="13"/>
      <c r="RF183" s="13"/>
      <c r="RG183" s="13"/>
      <c r="RH183" s="13"/>
      <c r="RI183" s="13"/>
      <c r="RJ183" s="13"/>
      <c r="RK183" s="13"/>
      <c r="RL183" s="13"/>
      <c r="RM183" s="13"/>
      <c r="RN183" s="13"/>
      <c r="RO183" s="13"/>
      <c r="RP183" s="13"/>
      <c r="RQ183" s="13"/>
      <c r="RR183" s="13"/>
      <c r="RS183" s="13"/>
      <c r="RT183" s="13"/>
      <c r="RU183" s="13"/>
      <c r="RV183" s="13"/>
      <c r="RW183" s="13"/>
      <c r="RX183" s="13"/>
      <c r="RY183" s="13"/>
      <c r="RZ183" s="13"/>
      <c r="SA183" s="13"/>
      <c r="SB183" s="13"/>
      <c r="SC183" s="13"/>
      <c r="SD183" s="13"/>
      <c r="SE183" s="13"/>
      <c r="SF183" s="13"/>
      <c r="SG183" s="13"/>
      <c r="SH183" s="13"/>
      <c r="SI183" s="13"/>
      <c r="SJ183" s="13"/>
      <c r="SK183" s="13"/>
      <c r="SL183" s="13"/>
      <c r="SM183" s="13"/>
      <c r="SN183" s="13"/>
      <c r="SO183" s="13"/>
      <c r="SP183" s="13"/>
      <c r="SQ183" s="13"/>
      <c r="SR183" s="13"/>
      <c r="SS183" s="13"/>
      <c r="ST183" s="13"/>
      <c r="SU183" s="13"/>
      <c r="SV183" s="13"/>
      <c r="SW183" s="13"/>
      <c r="SX183" s="13"/>
      <c r="SY183" s="13"/>
      <c r="SZ183" s="13"/>
      <c r="TA183" s="13"/>
      <c r="TB183" s="13"/>
      <c r="TC183" s="13"/>
      <c r="TD183" s="13"/>
      <c r="TE183" s="13"/>
      <c r="TF183" s="13"/>
      <c r="TG183" s="13"/>
      <c r="TH183" s="13"/>
      <c r="TI183" s="13"/>
      <c r="TJ183" s="13"/>
      <c r="TK183" s="13"/>
      <c r="TL183" s="13"/>
      <c r="TM183" s="13"/>
      <c r="TN183" s="13"/>
      <c r="TO183" s="13"/>
      <c r="TP183" s="13"/>
      <c r="TQ183" s="13"/>
      <c r="TR183" s="13"/>
      <c r="TS183" s="13"/>
      <c r="TT183" s="13"/>
      <c r="TU183" s="13"/>
      <c r="TV183" s="13"/>
      <c r="TW183" s="13"/>
      <c r="TX183" s="13"/>
      <c r="TY183" s="13"/>
      <c r="TZ183" s="13"/>
      <c r="UA183" s="13"/>
      <c r="UB183" s="13"/>
      <c r="UC183" s="13"/>
      <c r="UD183" s="13"/>
      <c r="UE183" s="13"/>
      <c r="UF183" s="13"/>
      <c r="UG183" s="13"/>
      <c r="UH183" s="13"/>
      <c r="UI183" s="13"/>
      <c r="UJ183" s="13"/>
      <c r="UK183" s="13"/>
      <c r="UL183" s="13"/>
      <c r="UM183" s="13"/>
      <c r="UN183" s="13"/>
      <c r="UO183" s="13"/>
      <c r="UP183" s="13"/>
      <c r="UQ183" s="13"/>
      <c r="UR183" s="13"/>
      <c r="US183" s="13"/>
      <c r="UT183" s="13"/>
      <c r="UU183" s="13"/>
      <c r="UV183" s="13"/>
      <c r="UW183" s="13"/>
      <c r="UX183" s="13"/>
      <c r="UY183" s="13"/>
      <c r="UZ183" s="13"/>
      <c r="VA183" s="13"/>
      <c r="VB183" s="13"/>
      <c r="VC183" s="13"/>
      <c r="VD183" s="13"/>
      <c r="VE183" s="13"/>
      <c r="VF183" s="13"/>
      <c r="VG183" s="13"/>
      <c r="VH183" s="13"/>
      <c r="VI183" s="13"/>
      <c r="VJ183" s="13"/>
      <c r="VK183" s="13"/>
      <c r="VL183" s="13"/>
      <c r="VM183" s="13"/>
      <c r="VN183" s="13"/>
      <c r="VO183" s="13"/>
      <c r="VP183" s="13"/>
      <c r="VQ183" s="13"/>
      <c r="VR183" s="13"/>
      <c r="VS183" s="13"/>
      <c r="VT183" s="13"/>
    </row>
    <row r="184" spans="1:592" s="13" customFormat="1" ht="31.5" x14ac:dyDescent="0.2">
      <c r="A184" s="10" t="s">
        <v>432</v>
      </c>
      <c r="B184" s="11">
        <v>70828920</v>
      </c>
      <c r="C184" s="11" t="s">
        <v>340</v>
      </c>
      <c r="D184" s="11">
        <v>5070480</v>
      </c>
      <c r="E184" s="12" t="s">
        <v>268</v>
      </c>
      <c r="F184" s="192" t="s">
        <v>269</v>
      </c>
      <c r="G184" s="201">
        <f>IFERROR(VLOOKUP(D184,List1!$A$5:$B$227,2,FALSE),"0")</f>
        <v>150000</v>
      </c>
      <c r="H184" s="41" t="str">
        <f>IFERROR(VLOOKUP(D184,List1!$D$5:$E$41,2,FALSE),"0")</f>
        <v>0</v>
      </c>
      <c r="I184" s="41" t="str">
        <f>IFERROR(VLOOKUP(D184,List1!$G$5:$H$227,2,FALSE),"0")</f>
        <v>0</v>
      </c>
      <c r="J184" s="40">
        <f t="shared" si="18"/>
        <v>150000</v>
      </c>
      <c r="K184" s="41">
        <f>IFERROR(VLOOKUP(D184,List1!$J$5:$K$227,2,FALSE),"0")</f>
        <v>6000</v>
      </c>
      <c r="L184" s="41" t="str">
        <f>IFERROR(VLOOKUP(D184,List1!$M$5:$N$112,2,FALSE),"0")</f>
        <v>0</v>
      </c>
      <c r="M184" s="43">
        <v>0</v>
      </c>
      <c r="N184" s="80">
        <f>VLOOKUP($D$5:$D$251,List2!$A$2:$B$241,2,FALSE)</f>
        <v>21000</v>
      </c>
      <c r="O184" s="80">
        <f>IFERROR(VLOOKUP($D$5:$D$260,List1!$Y$5:$Z$244,2,FALSE),0)</f>
        <v>0</v>
      </c>
      <c r="P184" s="202">
        <f>IFERROR(VLOOKUP($D$5:$D$260,List1!$AB$5:$AC$244,2,FALSE),0)</f>
        <v>0</v>
      </c>
      <c r="Q184" s="201">
        <f>IFERROR(VLOOKUP($D$5:$D$260,List1!$S$5:$T$231,2,FALSE),0)</f>
        <v>124428</v>
      </c>
      <c r="R184" s="41">
        <v>0</v>
      </c>
      <c r="S184" s="41">
        <f>IFERROR(VLOOKUP($D$5:$D$260,List1!$AE$5:$AF$231,2,FALSE),0)</f>
        <v>35000</v>
      </c>
      <c r="T184" s="41">
        <f t="shared" si="19"/>
        <v>159428</v>
      </c>
      <c r="U184" s="41" t="str">
        <f>IFERROR(VLOOKUP(D184,List1!$P$5:$Q$110,2,FALSE),"0")</f>
        <v>0</v>
      </c>
      <c r="V184" s="41">
        <v>0</v>
      </c>
      <c r="W184" s="248">
        <v>0</v>
      </c>
      <c r="X184" s="211">
        <f t="shared" si="20"/>
        <v>159428</v>
      </c>
      <c r="Y184" s="219"/>
      <c r="Z184" s="80">
        <f>IFERROR(VLOOKUP($D$5:$D$260,#REF!,3,FALSE),0)</f>
        <v>0</v>
      </c>
      <c r="AA184" s="80">
        <f>IFERROR(VLOOKUP($D$5:$D$260,#REF!,3,FALSE),0)</f>
        <v>0</v>
      </c>
      <c r="AB184" s="243">
        <v>0</v>
      </c>
      <c r="AC184" s="202">
        <f t="shared" si="21"/>
        <v>0</v>
      </c>
      <c r="AD184" s="259">
        <f t="shared" si="22"/>
        <v>0</v>
      </c>
      <c r="AE184" s="260">
        <f t="shared" si="23"/>
        <v>0</v>
      </c>
      <c r="AF184" s="260">
        <f t="shared" si="24"/>
        <v>0</v>
      </c>
      <c r="AG184" s="260">
        <f t="shared" si="25"/>
        <v>0</v>
      </c>
    </row>
    <row r="185" spans="1:592" s="22" customFormat="1" ht="31.5" x14ac:dyDescent="0.2">
      <c r="A185" s="10" t="s">
        <v>432</v>
      </c>
      <c r="B185" s="11">
        <v>70828920</v>
      </c>
      <c r="C185" s="11" t="s">
        <v>340</v>
      </c>
      <c r="D185" s="11">
        <v>1807508</v>
      </c>
      <c r="E185" s="228" t="s">
        <v>330</v>
      </c>
      <c r="F185" s="192" t="s">
        <v>300</v>
      </c>
      <c r="G185" s="201">
        <f>IFERROR(VLOOKUP(D185,List1!$A$5:$B$227,2,FALSE),"0")</f>
        <v>1345000</v>
      </c>
      <c r="H185" s="41" t="str">
        <f>IFERROR(VLOOKUP(D185,List1!$D$5:$E$41,2,FALSE),"0")</f>
        <v>0</v>
      </c>
      <c r="I185" s="41" t="str">
        <f>IFERROR(VLOOKUP(D185,List1!$G$5:$H$227,2,FALSE),"0")</f>
        <v>0</v>
      </c>
      <c r="J185" s="40">
        <f t="shared" si="18"/>
        <v>1345000</v>
      </c>
      <c r="K185" s="41">
        <f>IFERROR(VLOOKUP(D185,List1!$J$5:$K$227,2,FALSE),"0")</f>
        <v>64000</v>
      </c>
      <c r="L185" s="41">
        <f>IFERROR(VLOOKUP(D185,List1!$M$5:$N$112,2,FALSE),"0")</f>
        <v>27000</v>
      </c>
      <c r="M185" s="43">
        <v>0</v>
      </c>
      <c r="N185" s="80">
        <f>VLOOKUP($D$5:$D$251,List2!$A$2:$B$241,2,FALSE)</f>
        <v>0</v>
      </c>
      <c r="O185" s="80">
        <f>IFERROR(VLOOKUP($D$5:$D$260,List1!$Y$5:$Z$244,2,FALSE),0)</f>
        <v>0</v>
      </c>
      <c r="P185" s="202">
        <f>IFERROR(VLOOKUP($D$5:$D$260,List1!$AB$5:$AC$244,2,FALSE),0)</f>
        <v>0</v>
      </c>
      <c r="Q185" s="201">
        <f>IFERROR(VLOOKUP($D$5:$D$260,List1!$S$5:$T$231,2,FALSE),0)</f>
        <v>1244283</v>
      </c>
      <c r="R185" s="41">
        <v>0</v>
      </c>
      <c r="S185" s="41">
        <f>IFERROR(VLOOKUP($D$5:$D$260,List1!$AE$5:$AF$231,2,FALSE),0)</f>
        <v>350000</v>
      </c>
      <c r="T185" s="41">
        <f t="shared" si="19"/>
        <v>1594283</v>
      </c>
      <c r="U185" s="41" t="str">
        <f>IFERROR(VLOOKUP(D185,List1!$P$5:$Q$110,2,FALSE),"0")</f>
        <v>0</v>
      </c>
      <c r="V185" s="41">
        <v>0</v>
      </c>
      <c r="W185" s="248">
        <v>0</v>
      </c>
      <c r="X185" s="211">
        <f t="shared" si="20"/>
        <v>1594283</v>
      </c>
      <c r="Y185" s="219"/>
      <c r="Z185" s="80">
        <f>IFERROR(VLOOKUP($D$5:$D$260,#REF!,3,FALSE),0)</f>
        <v>0</v>
      </c>
      <c r="AA185" s="80">
        <f>IFERROR(VLOOKUP($D$5:$D$260,#REF!,3,FALSE),0)</f>
        <v>0</v>
      </c>
      <c r="AB185" s="243">
        <v>0</v>
      </c>
      <c r="AC185" s="202">
        <f t="shared" si="21"/>
        <v>0</v>
      </c>
      <c r="AD185" s="259">
        <f t="shared" si="22"/>
        <v>0</v>
      </c>
      <c r="AE185" s="260">
        <f t="shared" si="23"/>
        <v>0</v>
      </c>
      <c r="AF185" s="260">
        <f t="shared" si="24"/>
        <v>0</v>
      </c>
      <c r="AG185" s="260">
        <f t="shared" si="25"/>
        <v>0</v>
      </c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  <c r="IT185" s="13"/>
      <c r="IU185" s="13"/>
      <c r="IV185" s="13"/>
      <c r="IW185" s="13"/>
      <c r="IX185" s="13"/>
      <c r="IY185" s="13"/>
      <c r="IZ185" s="13"/>
      <c r="JA185" s="13"/>
      <c r="JB185" s="13"/>
      <c r="JC185" s="13"/>
      <c r="JD185" s="13"/>
      <c r="JE185" s="13"/>
      <c r="JF185" s="13"/>
      <c r="JG185" s="13"/>
      <c r="JH185" s="13"/>
      <c r="JI185" s="13"/>
      <c r="JJ185" s="13"/>
      <c r="JK185" s="13"/>
      <c r="JL185" s="13"/>
      <c r="JM185" s="13"/>
      <c r="JN185" s="13"/>
      <c r="JO185" s="13"/>
      <c r="JP185" s="13"/>
      <c r="JQ185" s="13"/>
      <c r="JR185" s="13"/>
      <c r="JS185" s="13"/>
      <c r="JT185" s="13"/>
      <c r="JU185" s="13"/>
      <c r="JV185" s="13"/>
      <c r="JW185" s="13"/>
      <c r="JX185" s="13"/>
      <c r="JY185" s="13"/>
      <c r="JZ185" s="13"/>
      <c r="KA185" s="13"/>
      <c r="KB185" s="13"/>
      <c r="KC185" s="13"/>
      <c r="KD185" s="13"/>
      <c r="KE185" s="13"/>
      <c r="KF185" s="13"/>
      <c r="KG185" s="13"/>
      <c r="KH185" s="13"/>
      <c r="KI185" s="13"/>
      <c r="KJ185" s="13"/>
      <c r="KK185" s="13"/>
      <c r="KL185" s="13"/>
      <c r="KM185" s="13"/>
      <c r="KN185" s="13"/>
      <c r="KO185" s="13"/>
      <c r="KP185" s="13"/>
      <c r="KQ185" s="13"/>
      <c r="KR185" s="13"/>
      <c r="KS185" s="13"/>
      <c r="KT185" s="13"/>
      <c r="KU185" s="13"/>
      <c r="KV185" s="13"/>
      <c r="KW185" s="13"/>
      <c r="KX185" s="13"/>
      <c r="KY185" s="13"/>
      <c r="KZ185" s="13"/>
      <c r="LA185" s="13"/>
      <c r="LB185" s="13"/>
      <c r="LC185" s="13"/>
      <c r="LD185" s="13"/>
      <c r="LE185" s="13"/>
      <c r="LF185" s="13"/>
      <c r="LG185" s="13"/>
      <c r="LH185" s="13"/>
      <c r="LI185" s="13"/>
      <c r="LJ185" s="13"/>
      <c r="LK185" s="13"/>
      <c r="LL185" s="13"/>
      <c r="LM185" s="13"/>
      <c r="LN185" s="13"/>
      <c r="LO185" s="13"/>
      <c r="LP185" s="13"/>
      <c r="LQ185" s="13"/>
      <c r="LR185" s="13"/>
      <c r="LS185" s="13"/>
      <c r="LT185" s="13"/>
      <c r="LU185" s="13"/>
      <c r="LV185" s="13"/>
      <c r="LW185" s="13"/>
      <c r="LX185" s="13"/>
      <c r="LY185" s="13"/>
      <c r="LZ185" s="13"/>
      <c r="MA185" s="13"/>
      <c r="MB185" s="13"/>
      <c r="MC185" s="13"/>
      <c r="MD185" s="13"/>
      <c r="ME185" s="13"/>
      <c r="MF185" s="13"/>
      <c r="MG185" s="13"/>
      <c r="MH185" s="13"/>
      <c r="MI185" s="13"/>
      <c r="MJ185" s="13"/>
      <c r="MK185" s="13"/>
      <c r="ML185" s="13"/>
      <c r="MM185" s="13"/>
      <c r="MN185" s="13"/>
      <c r="MO185" s="13"/>
      <c r="MP185" s="13"/>
      <c r="MQ185" s="13"/>
      <c r="MR185" s="13"/>
      <c r="MS185" s="13"/>
      <c r="MT185" s="13"/>
      <c r="MU185" s="13"/>
      <c r="MV185" s="13"/>
      <c r="MW185" s="13"/>
      <c r="MX185" s="13"/>
      <c r="MY185" s="13"/>
      <c r="MZ185" s="13"/>
      <c r="NA185" s="13"/>
      <c r="NB185" s="13"/>
      <c r="NC185" s="13"/>
      <c r="ND185" s="13"/>
      <c r="NE185" s="13"/>
      <c r="NF185" s="13"/>
      <c r="NG185" s="13"/>
      <c r="NH185" s="13"/>
      <c r="NI185" s="13"/>
      <c r="NJ185" s="13"/>
      <c r="NK185" s="13"/>
      <c r="NL185" s="13"/>
      <c r="NM185" s="13"/>
      <c r="NN185" s="13"/>
      <c r="NO185" s="13"/>
      <c r="NP185" s="13"/>
      <c r="NQ185" s="13"/>
      <c r="NR185" s="13"/>
      <c r="NS185" s="13"/>
      <c r="NT185" s="13"/>
      <c r="NU185" s="13"/>
      <c r="NV185" s="13"/>
      <c r="NW185" s="13"/>
      <c r="NX185" s="13"/>
      <c r="NY185" s="13"/>
      <c r="NZ185" s="13"/>
      <c r="OA185" s="13"/>
      <c r="OB185" s="13"/>
      <c r="OC185" s="13"/>
      <c r="OD185" s="13"/>
      <c r="OE185" s="13"/>
      <c r="OF185" s="13"/>
      <c r="OG185" s="13"/>
      <c r="OH185" s="13"/>
      <c r="OI185" s="13"/>
      <c r="OJ185" s="13"/>
      <c r="OK185" s="13"/>
      <c r="OL185" s="13"/>
      <c r="OM185" s="13"/>
      <c r="ON185" s="13"/>
      <c r="OO185" s="13"/>
      <c r="OP185" s="13"/>
      <c r="OQ185" s="13"/>
      <c r="OR185" s="13"/>
      <c r="OS185" s="13"/>
      <c r="OT185" s="13"/>
      <c r="OU185" s="13"/>
      <c r="OV185" s="13"/>
      <c r="OW185" s="13"/>
      <c r="OX185" s="13"/>
      <c r="OY185" s="13"/>
      <c r="OZ185" s="13"/>
      <c r="PA185" s="13"/>
      <c r="PB185" s="13"/>
      <c r="PC185" s="13"/>
      <c r="PD185" s="13"/>
      <c r="PE185" s="13"/>
      <c r="PF185" s="13"/>
      <c r="PG185" s="13"/>
      <c r="PH185" s="13"/>
      <c r="PI185" s="13"/>
      <c r="PJ185" s="13"/>
      <c r="PK185" s="13"/>
      <c r="PL185" s="13"/>
      <c r="PM185" s="13"/>
      <c r="PN185" s="13"/>
      <c r="PO185" s="13"/>
      <c r="PP185" s="13"/>
      <c r="PQ185" s="13"/>
      <c r="PR185" s="13"/>
      <c r="PS185" s="13"/>
      <c r="PT185" s="13"/>
      <c r="PU185" s="13"/>
      <c r="PV185" s="13"/>
      <c r="PW185" s="13"/>
      <c r="PX185" s="13"/>
      <c r="PY185" s="13"/>
      <c r="PZ185" s="13"/>
      <c r="QA185" s="13"/>
      <c r="QB185" s="13"/>
      <c r="QC185" s="13"/>
      <c r="QD185" s="13"/>
      <c r="QE185" s="13"/>
      <c r="QF185" s="13"/>
      <c r="QG185" s="13"/>
      <c r="QH185" s="13"/>
      <c r="QI185" s="13"/>
      <c r="QJ185" s="13"/>
      <c r="QK185" s="13"/>
      <c r="QL185" s="13"/>
      <c r="QM185" s="13"/>
      <c r="QN185" s="13"/>
      <c r="QO185" s="13"/>
      <c r="QP185" s="13"/>
      <c r="QQ185" s="13"/>
      <c r="QR185" s="13"/>
      <c r="QS185" s="13"/>
      <c r="QT185" s="13"/>
      <c r="QU185" s="13"/>
      <c r="QV185" s="13"/>
      <c r="QW185" s="13"/>
      <c r="QX185" s="13"/>
      <c r="QY185" s="13"/>
      <c r="QZ185" s="13"/>
      <c r="RA185" s="13"/>
      <c r="RB185" s="13"/>
      <c r="RC185" s="13"/>
      <c r="RD185" s="13"/>
      <c r="RE185" s="13"/>
      <c r="RF185" s="13"/>
      <c r="RG185" s="13"/>
      <c r="RH185" s="13"/>
      <c r="RI185" s="13"/>
      <c r="RJ185" s="13"/>
      <c r="RK185" s="13"/>
      <c r="RL185" s="13"/>
      <c r="RM185" s="13"/>
      <c r="RN185" s="13"/>
      <c r="RO185" s="13"/>
      <c r="RP185" s="13"/>
      <c r="RQ185" s="13"/>
      <c r="RR185" s="13"/>
      <c r="RS185" s="13"/>
      <c r="RT185" s="13"/>
      <c r="RU185" s="13"/>
      <c r="RV185" s="13"/>
      <c r="RW185" s="13"/>
      <c r="RX185" s="13"/>
      <c r="RY185" s="13"/>
      <c r="RZ185" s="13"/>
      <c r="SA185" s="13"/>
      <c r="SB185" s="13"/>
      <c r="SC185" s="13"/>
      <c r="SD185" s="13"/>
      <c r="SE185" s="13"/>
      <c r="SF185" s="13"/>
      <c r="SG185" s="13"/>
      <c r="SH185" s="13"/>
      <c r="SI185" s="13"/>
      <c r="SJ185" s="13"/>
      <c r="SK185" s="13"/>
      <c r="SL185" s="13"/>
      <c r="SM185" s="13"/>
      <c r="SN185" s="13"/>
      <c r="SO185" s="13"/>
      <c r="SP185" s="13"/>
      <c r="SQ185" s="13"/>
      <c r="SR185" s="13"/>
      <c r="SS185" s="13"/>
      <c r="ST185" s="13"/>
      <c r="SU185" s="13"/>
      <c r="SV185" s="13"/>
      <c r="SW185" s="13"/>
      <c r="SX185" s="13"/>
      <c r="SY185" s="13"/>
      <c r="SZ185" s="13"/>
      <c r="TA185" s="13"/>
      <c r="TB185" s="13"/>
      <c r="TC185" s="13"/>
      <c r="TD185" s="13"/>
      <c r="TE185" s="13"/>
      <c r="TF185" s="13"/>
      <c r="TG185" s="13"/>
      <c r="TH185" s="13"/>
      <c r="TI185" s="13"/>
      <c r="TJ185" s="13"/>
      <c r="TK185" s="13"/>
      <c r="TL185" s="13"/>
      <c r="TM185" s="13"/>
      <c r="TN185" s="13"/>
      <c r="TO185" s="13"/>
      <c r="TP185" s="13"/>
      <c r="TQ185" s="13"/>
      <c r="TR185" s="13"/>
      <c r="TS185" s="13"/>
      <c r="TT185" s="13"/>
      <c r="TU185" s="13"/>
      <c r="TV185" s="13"/>
      <c r="TW185" s="13"/>
      <c r="TX185" s="13"/>
      <c r="TY185" s="13"/>
      <c r="TZ185" s="13"/>
      <c r="UA185" s="13"/>
      <c r="UB185" s="13"/>
      <c r="UC185" s="13"/>
      <c r="UD185" s="13"/>
      <c r="UE185" s="13"/>
      <c r="UF185" s="13"/>
      <c r="UG185" s="13"/>
      <c r="UH185" s="13"/>
      <c r="UI185" s="13"/>
      <c r="UJ185" s="13"/>
      <c r="UK185" s="13"/>
      <c r="UL185" s="13"/>
      <c r="UM185" s="13"/>
      <c r="UN185" s="13"/>
      <c r="UO185" s="13"/>
      <c r="UP185" s="13"/>
      <c r="UQ185" s="13"/>
      <c r="UR185" s="13"/>
      <c r="US185" s="13"/>
      <c r="UT185" s="13"/>
      <c r="UU185" s="13"/>
      <c r="UV185" s="13"/>
      <c r="UW185" s="13"/>
      <c r="UX185" s="13"/>
      <c r="UY185" s="13"/>
      <c r="UZ185" s="13"/>
      <c r="VA185" s="13"/>
      <c r="VB185" s="13"/>
      <c r="VC185" s="13"/>
      <c r="VD185" s="13"/>
      <c r="VE185" s="13"/>
      <c r="VF185" s="13"/>
      <c r="VG185" s="13"/>
      <c r="VH185" s="13"/>
      <c r="VI185" s="13"/>
      <c r="VJ185" s="13"/>
      <c r="VK185" s="13"/>
      <c r="VL185" s="13"/>
      <c r="VM185" s="13"/>
      <c r="VN185" s="13"/>
      <c r="VO185" s="13"/>
      <c r="VP185" s="13"/>
      <c r="VQ185" s="13"/>
      <c r="VR185" s="13"/>
      <c r="VS185" s="13"/>
      <c r="VT185" s="13"/>
    </row>
    <row r="186" spans="1:592" s="13" customFormat="1" ht="31.5" x14ac:dyDescent="0.2">
      <c r="A186" s="10" t="s">
        <v>432</v>
      </c>
      <c r="B186" s="11">
        <v>70828920</v>
      </c>
      <c r="C186" s="11" t="s">
        <v>340</v>
      </c>
      <c r="D186" s="11">
        <v>8696715</v>
      </c>
      <c r="E186" s="228" t="s">
        <v>330</v>
      </c>
      <c r="F186" s="192" t="s">
        <v>300</v>
      </c>
      <c r="G186" s="201">
        <f>IFERROR(VLOOKUP(D186,List1!$A$5:$B$227,2,FALSE),"0")</f>
        <v>2476000</v>
      </c>
      <c r="H186" s="41" t="str">
        <f>IFERROR(VLOOKUP(D186,List1!$D$5:$E$41,2,FALSE),"0")</f>
        <v>0</v>
      </c>
      <c r="I186" s="41" t="str">
        <f>IFERROR(VLOOKUP(D186,List1!$G$5:$H$227,2,FALSE),"0")</f>
        <v>0</v>
      </c>
      <c r="J186" s="40">
        <f t="shared" si="18"/>
        <v>2476000</v>
      </c>
      <c r="K186" s="41">
        <f>IFERROR(VLOOKUP(D186,List1!$J$5:$K$227,2,FALSE),"0")</f>
        <v>90000</v>
      </c>
      <c r="L186" s="41">
        <f>IFERROR(VLOOKUP(D186,List1!$M$5:$N$112,2,FALSE),"0")</f>
        <v>50000</v>
      </c>
      <c r="M186" s="43">
        <v>0</v>
      </c>
      <c r="N186" s="80">
        <f>VLOOKUP($D$5:$D$251,List2!$A$2:$B$241,2,FALSE)</f>
        <v>0</v>
      </c>
      <c r="O186" s="80">
        <f>IFERROR(VLOOKUP($D$5:$D$260,List1!$Y$5:$Z$244,2,FALSE),0)</f>
        <v>0</v>
      </c>
      <c r="P186" s="202">
        <f>IFERROR(VLOOKUP($D$5:$D$260,List1!$AB$5:$AC$244,2,FALSE),0)</f>
        <v>0</v>
      </c>
      <c r="Q186" s="201">
        <f>IFERROR(VLOOKUP($D$5:$D$260,List1!$S$5:$T$231,2,FALSE),0)</f>
        <v>2571519</v>
      </c>
      <c r="R186" s="41">
        <v>0</v>
      </c>
      <c r="S186" s="41">
        <f>IFERROR(VLOOKUP($D$5:$D$260,List1!$AE$5:$AF$231,2,FALSE),0)</f>
        <v>750000</v>
      </c>
      <c r="T186" s="41">
        <f t="shared" si="19"/>
        <v>3321519</v>
      </c>
      <c r="U186" s="41" t="str">
        <f>IFERROR(VLOOKUP(D186,List1!$P$5:$Q$110,2,FALSE),"0")</f>
        <v>0</v>
      </c>
      <c r="V186" s="41">
        <v>0</v>
      </c>
      <c r="W186" s="248">
        <v>0</v>
      </c>
      <c r="X186" s="211">
        <f t="shared" si="20"/>
        <v>3321519</v>
      </c>
      <c r="Y186" s="219"/>
      <c r="Z186" s="80">
        <f>IFERROR(VLOOKUP($D$5:$D$260,#REF!,3,FALSE),0)</f>
        <v>0</v>
      </c>
      <c r="AA186" s="80">
        <f>IFERROR(VLOOKUP($D$5:$D$260,#REF!,3,FALSE),0)</f>
        <v>0</v>
      </c>
      <c r="AB186" s="243">
        <v>0</v>
      </c>
      <c r="AC186" s="202">
        <f t="shared" si="21"/>
        <v>0</v>
      </c>
      <c r="AD186" s="259">
        <f t="shared" si="22"/>
        <v>0</v>
      </c>
      <c r="AE186" s="260">
        <f t="shared" si="23"/>
        <v>0</v>
      </c>
      <c r="AF186" s="260">
        <f t="shared" si="24"/>
        <v>0</v>
      </c>
      <c r="AG186" s="260">
        <f t="shared" si="25"/>
        <v>0</v>
      </c>
    </row>
    <row r="187" spans="1:592" s="13" customFormat="1" ht="31.5" x14ac:dyDescent="0.2">
      <c r="A187" s="10" t="s">
        <v>432</v>
      </c>
      <c r="B187" s="11">
        <v>70828920</v>
      </c>
      <c r="C187" s="11" t="s">
        <v>340</v>
      </c>
      <c r="D187" s="11">
        <v>8501960</v>
      </c>
      <c r="E187" s="228" t="s">
        <v>330</v>
      </c>
      <c r="F187" s="192" t="s">
        <v>269</v>
      </c>
      <c r="G187" s="201">
        <f>IFERROR(VLOOKUP(D187,List1!$A$5:$B$227,2,FALSE),"0")</f>
        <v>772000</v>
      </c>
      <c r="H187" s="41" t="str">
        <f>IFERROR(VLOOKUP(D187,List1!$D$5:$E$41,2,FALSE),"0")</f>
        <v>0</v>
      </c>
      <c r="I187" s="41">
        <f>IFERROR(VLOOKUP(D187,List1!$G$5:$H$227,2,FALSE),"0")</f>
        <v>147808</v>
      </c>
      <c r="J187" s="40">
        <f t="shared" si="18"/>
        <v>919808</v>
      </c>
      <c r="K187" s="41">
        <f>IFERROR(VLOOKUP(D187,List1!$J$5:$K$227,2,FALSE),"0")</f>
        <v>38000</v>
      </c>
      <c r="L187" s="41">
        <f>IFERROR(VLOOKUP(D187,List1!$M$5:$N$112,2,FALSE),"0")</f>
        <v>16000</v>
      </c>
      <c r="M187" s="43">
        <v>0</v>
      </c>
      <c r="N187" s="80">
        <f>VLOOKUP($D$5:$D$251,List2!$A$2:$B$241,2,FALSE)</f>
        <v>0</v>
      </c>
      <c r="O187" s="80">
        <f>IFERROR(VLOOKUP($D$5:$D$260,List1!$Y$5:$Z$244,2,FALSE),0)</f>
        <v>0</v>
      </c>
      <c r="P187" s="202">
        <f>IFERROR(VLOOKUP($D$5:$D$260,List1!$AB$5:$AC$244,2,FALSE),0)</f>
        <v>0</v>
      </c>
      <c r="Q187" s="201">
        <f>IFERROR(VLOOKUP($D$5:$D$260,List1!$S$5:$T$231,2,FALSE),0)</f>
        <v>696799</v>
      </c>
      <c r="R187" s="41">
        <v>0</v>
      </c>
      <c r="S187" s="41">
        <f>IFERROR(VLOOKUP($D$5:$D$260,List1!$AE$5:$AF$231,2,FALSE),0)</f>
        <v>200000</v>
      </c>
      <c r="T187" s="41">
        <f t="shared" si="19"/>
        <v>896799</v>
      </c>
      <c r="U187" s="41" t="str">
        <f>IFERROR(VLOOKUP(D187,List1!$P$5:$Q$110,2,FALSE),"0")</f>
        <v>0</v>
      </c>
      <c r="V187" s="41">
        <v>0</v>
      </c>
      <c r="W187" s="248">
        <v>0</v>
      </c>
      <c r="X187" s="211">
        <f t="shared" si="20"/>
        <v>896799</v>
      </c>
      <c r="Y187" s="219"/>
      <c r="Z187" s="80">
        <f>IFERROR(VLOOKUP($D$5:$D$260,#REF!,3,FALSE),0)</f>
        <v>0</v>
      </c>
      <c r="AA187" s="80">
        <f>IFERROR(VLOOKUP($D$5:$D$260,#REF!,3,FALSE),0)</f>
        <v>0</v>
      </c>
      <c r="AB187" s="243">
        <v>0</v>
      </c>
      <c r="AC187" s="202">
        <f t="shared" si="21"/>
        <v>0</v>
      </c>
      <c r="AD187" s="259">
        <f t="shared" si="22"/>
        <v>0</v>
      </c>
      <c r="AE187" s="260">
        <f t="shared" si="23"/>
        <v>0</v>
      </c>
      <c r="AF187" s="260">
        <f t="shared" si="24"/>
        <v>0</v>
      </c>
      <c r="AG187" s="260">
        <f t="shared" si="25"/>
        <v>0</v>
      </c>
    </row>
    <row r="188" spans="1:592" s="13" customFormat="1" ht="21" x14ac:dyDescent="0.2">
      <c r="A188" s="10" t="s">
        <v>433</v>
      </c>
      <c r="B188" s="11">
        <v>48282944</v>
      </c>
      <c r="C188" s="11" t="s">
        <v>296</v>
      </c>
      <c r="D188" s="11">
        <v>7759833</v>
      </c>
      <c r="E188" s="225" t="s">
        <v>298</v>
      </c>
      <c r="F188" s="192" t="s">
        <v>278</v>
      </c>
      <c r="G188" s="201">
        <f>IFERROR(VLOOKUP(D188,List1!$A$5:$B$227,2,FALSE),"0")</f>
        <v>17796000</v>
      </c>
      <c r="H188" s="41">
        <f>IFERROR(VLOOKUP(D188,List1!$D$5:$E$41,2,FALSE),"0")</f>
        <v>989512</v>
      </c>
      <c r="I188" s="41">
        <f>IFERROR(VLOOKUP(D188,List1!$G$5:$H$227,2,FALSE),"0")</f>
        <v>900000</v>
      </c>
      <c r="J188" s="40">
        <f t="shared" si="18"/>
        <v>19685512</v>
      </c>
      <c r="K188" s="41" t="str">
        <f>IFERROR(VLOOKUP(D188,List1!$J$5:$K$227,2,FALSE),"0")</f>
        <v>0</v>
      </c>
      <c r="L188" s="41" t="str">
        <f>IFERROR(VLOOKUP(D188,List1!$M$5:$N$112,2,FALSE),"0")</f>
        <v>0</v>
      </c>
      <c r="M188" s="43">
        <v>0</v>
      </c>
      <c r="N188" s="80">
        <f>VLOOKUP($D$5:$D$251,List2!$A$2:$B$241,2,FALSE)</f>
        <v>25000</v>
      </c>
      <c r="O188" s="80">
        <f>IFERROR(VLOOKUP($D$5:$D$260,List1!$Y$5:$Z$244,2,FALSE),0)</f>
        <v>3771734.19</v>
      </c>
      <c r="P188" s="202">
        <f>IFERROR(VLOOKUP($D$5:$D$260,List1!$AB$5:$AC$244,2,FALSE),0)</f>
        <v>0</v>
      </c>
      <c r="Q188" s="201">
        <f>IFERROR(VLOOKUP($D$5:$D$260,List1!$S$5:$T$231,2,FALSE),0)</f>
        <v>15070769</v>
      </c>
      <c r="R188" s="41">
        <v>0</v>
      </c>
      <c r="S188" s="41">
        <f>IFERROR(VLOOKUP($D$5:$D$260,List1!$AE$5:$AF$231,2,FALSE),0)</f>
        <v>193844</v>
      </c>
      <c r="T188" s="41">
        <f t="shared" si="19"/>
        <v>15264613</v>
      </c>
      <c r="U188" s="41" t="str">
        <f>IFERROR(VLOOKUP(D188,List1!$P$5:$Q$110,2,FALSE),"0")</f>
        <v>0</v>
      </c>
      <c r="V188" s="41">
        <v>0</v>
      </c>
      <c r="W188" s="248">
        <v>0</v>
      </c>
      <c r="X188" s="211">
        <f t="shared" si="20"/>
        <v>15264613</v>
      </c>
      <c r="Y188" s="219"/>
      <c r="Z188" s="80">
        <f>IFERROR(VLOOKUP($D$5:$D$260,#REF!,3,FALSE),0)</f>
        <v>0</v>
      </c>
      <c r="AA188" s="80">
        <f>IFERROR(VLOOKUP($D$5:$D$260,#REF!,3,FALSE),0)</f>
        <v>0</v>
      </c>
      <c r="AB188" s="243">
        <v>0</v>
      </c>
      <c r="AC188" s="202">
        <f t="shared" si="21"/>
        <v>0</v>
      </c>
      <c r="AD188" s="259">
        <f t="shared" si="22"/>
        <v>0</v>
      </c>
      <c r="AE188" s="260">
        <f t="shared" si="23"/>
        <v>0</v>
      </c>
      <c r="AF188" s="260">
        <f t="shared" si="24"/>
        <v>0</v>
      </c>
      <c r="AG188" s="260">
        <f t="shared" si="25"/>
        <v>0</v>
      </c>
    </row>
    <row r="189" spans="1:592" s="13" customFormat="1" ht="31.5" x14ac:dyDescent="0.2">
      <c r="A189" s="10" t="s">
        <v>434</v>
      </c>
      <c r="B189" s="11">
        <v>27284506</v>
      </c>
      <c r="C189" s="11" t="s">
        <v>318</v>
      </c>
      <c r="D189" s="11">
        <v>6967411</v>
      </c>
      <c r="E189" s="225" t="s">
        <v>285</v>
      </c>
      <c r="F189" s="192" t="s">
        <v>278</v>
      </c>
      <c r="G189" s="201">
        <f>IFERROR(VLOOKUP(D189,List1!$A$5:$B$227,2,FALSE),"0")</f>
        <v>5295000</v>
      </c>
      <c r="H189" s="41" t="str">
        <f>IFERROR(VLOOKUP(D189,List1!$D$5:$E$41,2,FALSE),"0")</f>
        <v>0</v>
      </c>
      <c r="I189" s="41" t="str">
        <f>IFERROR(VLOOKUP(D189,List1!$G$5:$H$227,2,FALSE),"0")</f>
        <v>0</v>
      </c>
      <c r="J189" s="40">
        <f t="shared" si="18"/>
        <v>5295000</v>
      </c>
      <c r="K189" s="41" t="str">
        <f>IFERROR(VLOOKUP(D189,List1!$J$5:$K$227,2,FALSE),"0")</f>
        <v>0</v>
      </c>
      <c r="L189" s="41" t="str">
        <f>IFERROR(VLOOKUP(D189,List1!$M$5:$N$112,2,FALSE),"0")</f>
        <v>0</v>
      </c>
      <c r="M189" s="43">
        <v>0</v>
      </c>
      <c r="N189" s="80">
        <f>VLOOKUP($D$5:$D$251,List2!$A$2:$B$241,2,FALSE)</f>
        <v>519797</v>
      </c>
      <c r="O189" s="80">
        <f>IFERROR(VLOOKUP($D$5:$D$260,List1!$Y$5:$Z$244,2,FALSE),0)</f>
        <v>0</v>
      </c>
      <c r="P189" s="202">
        <f>IFERROR(VLOOKUP($D$5:$D$260,List1!$AB$5:$AC$244,2,FALSE),0)</f>
        <v>0</v>
      </c>
      <c r="Q189" s="201">
        <f>IFERROR(VLOOKUP($D$5:$D$260,List1!$S$5:$T$231,2,FALSE),0)</f>
        <v>6424742</v>
      </c>
      <c r="R189" s="41">
        <v>0</v>
      </c>
      <c r="S189" s="41">
        <f>IFERROR(VLOOKUP($D$5:$D$260,List1!$AE$5:$AF$231,2,FALSE),0)</f>
        <v>484611</v>
      </c>
      <c r="T189" s="41">
        <f t="shared" si="19"/>
        <v>6909353</v>
      </c>
      <c r="U189" s="41" t="str">
        <f>IFERROR(VLOOKUP(D189,List1!$P$5:$Q$110,2,FALSE),"0")</f>
        <v>0</v>
      </c>
      <c r="V189" s="41">
        <v>0</v>
      </c>
      <c r="W189" s="248">
        <v>0</v>
      </c>
      <c r="X189" s="211">
        <f t="shared" si="20"/>
        <v>6909353</v>
      </c>
      <c r="Y189" s="219"/>
      <c r="Z189" s="80">
        <f>IFERROR(VLOOKUP($D$5:$D$260,#REF!,3,FALSE),0)</f>
        <v>0</v>
      </c>
      <c r="AA189" s="80">
        <f>IFERROR(VLOOKUP($D$5:$D$260,#REF!,3,FALSE),0)</f>
        <v>0</v>
      </c>
      <c r="AB189" s="243">
        <v>0</v>
      </c>
      <c r="AC189" s="202">
        <f t="shared" si="21"/>
        <v>0</v>
      </c>
      <c r="AD189" s="259">
        <f t="shared" si="22"/>
        <v>0</v>
      </c>
      <c r="AE189" s="260">
        <f t="shared" si="23"/>
        <v>0</v>
      </c>
      <c r="AF189" s="260">
        <f t="shared" si="24"/>
        <v>0</v>
      </c>
      <c r="AG189" s="260">
        <f t="shared" si="25"/>
        <v>0</v>
      </c>
    </row>
    <row r="190" spans="1:592" s="25" customFormat="1" ht="31.5" x14ac:dyDescent="0.2">
      <c r="A190" s="17" t="s">
        <v>434</v>
      </c>
      <c r="B190" s="11">
        <v>27284506</v>
      </c>
      <c r="C190" s="11" t="s">
        <v>318</v>
      </c>
      <c r="D190" s="11">
        <v>2572767</v>
      </c>
      <c r="E190" s="225" t="s">
        <v>290</v>
      </c>
      <c r="F190" s="192" t="s">
        <v>278</v>
      </c>
      <c r="G190" s="201">
        <f>IFERROR(VLOOKUP(D190,List1!$A$5:$B$227,2,FALSE),"0")</f>
        <v>7986000</v>
      </c>
      <c r="H190" s="41" t="str">
        <f>IFERROR(VLOOKUP(D190,List1!$D$5:$E$41,2,FALSE),"0")</f>
        <v>0</v>
      </c>
      <c r="I190" s="41" t="str">
        <f>IFERROR(VLOOKUP(D190,List1!$G$5:$H$227,2,FALSE),"0")</f>
        <v>0</v>
      </c>
      <c r="J190" s="40">
        <f t="shared" si="18"/>
        <v>7986000</v>
      </c>
      <c r="K190" s="41" t="str">
        <f>IFERROR(VLOOKUP(D190,List1!$J$5:$K$227,2,FALSE),"0")</f>
        <v>0</v>
      </c>
      <c r="L190" s="41" t="str">
        <f>IFERROR(VLOOKUP(D190,List1!$M$5:$N$112,2,FALSE),"0")</f>
        <v>0</v>
      </c>
      <c r="M190" s="43">
        <v>0</v>
      </c>
      <c r="N190" s="80">
        <f>VLOOKUP($D$5:$D$251,List2!$A$2:$B$241,2,FALSE)</f>
        <v>703063</v>
      </c>
      <c r="O190" s="80">
        <f>IFERROR(VLOOKUP($D$5:$D$260,List1!$Y$5:$Z$244,2,FALSE),0)</f>
        <v>0</v>
      </c>
      <c r="P190" s="202">
        <f>IFERROR(VLOOKUP($D$5:$D$260,List1!$AB$5:$AC$244,2,FALSE),0)</f>
        <v>0</v>
      </c>
      <c r="Q190" s="201">
        <f>IFERROR(VLOOKUP($D$5:$D$260,List1!$S$5:$T$231,2,FALSE),0)</f>
        <v>9392233</v>
      </c>
      <c r="R190" s="41">
        <v>0</v>
      </c>
      <c r="S190" s="41">
        <f>IFERROR(VLOOKUP($D$5:$D$260,List1!$AE$5:$AF$231,2,FALSE),0)</f>
        <v>484611</v>
      </c>
      <c r="T190" s="41">
        <f t="shared" si="19"/>
        <v>9876844</v>
      </c>
      <c r="U190" s="41" t="str">
        <f>IFERROR(VLOOKUP(D190,List1!$P$5:$Q$110,2,FALSE),"0")</f>
        <v>0</v>
      </c>
      <c r="V190" s="41">
        <v>0</v>
      </c>
      <c r="W190" s="248">
        <v>0</v>
      </c>
      <c r="X190" s="211">
        <f t="shared" si="20"/>
        <v>9876844</v>
      </c>
      <c r="Y190" s="219"/>
      <c r="Z190" s="80">
        <f>IFERROR(VLOOKUP($D$5:$D$260,#REF!,3,FALSE),0)</f>
        <v>0</v>
      </c>
      <c r="AA190" s="80">
        <f>IFERROR(VLOOKUP($D$5:$D$260,#REF!,3,FALSE),0)</f>
        <v>0</v>
      </c>
      <c r="AB190" s="243">
        <v>0</v>
      </c>
      <c r="AC190" s="202">
        <f t="shared" si="21"/>
        <v>0</v>
      </c>
      <c r="AD190" s="259">
        <f t="shared" si="22"/>
        <v>0</v>
      </c>
      <c r="AE190" s="260">
        <f t="shared" si="23"/>
        <v>0</v>
      </c>
      <c r="AF190" s="260">
        <f t="shared" si="24"/>
        <v>0</v>
      </c>
      <c r="AG190" s="260">
        <f t="shared" si="25"/>
        <v>0</v>
      </c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  <c r="IS190" s="13"/>
      <c r="IT190" s="13"/>
      <c r="IU190" s="13"/>
      <c r="IV190" s="13"/>
      <c r="IW190" s="13"/>
      <c r="IX190" s="13"/>
      <c r="IY190" s="13"/>
      <c r="IZ190" s="13"/>
      <c r="JA190" s="13"/>
      <c r="JB190" s="13"/>
      <c r="JC190" s="13"/>
      <c r="JD190" s="13"/>
      <c r="JE190" s="13"/>
      <c r="JF190" s="13"/>
      <c r="JG190" s="13"/>
      <c r="JH190" s="13"/>
      <c r="JI190" s="13"/>
      <c r="JJ190" s="13"/>
      <c r="JK190" s="13"/>
      <c r="JL190" s="13"/>
      <c r="JM190" s="13"/>
      <c r="JN190" s="13"/>
      <c r="JO190" s="13"/>
      <c r="JP190" s="13"/>
      <c r="JQ190" s="13"/>
      <c r="JR190" s="13"/>
      <c r="JS190" s="13"/>
      <c r="JT190" s="13"/>
      <c r="JU190" s="13"/>
      <c r="JV190" s="13"/>
      <c r="JW190" s="13"/>
      <c r="JX190" s="13"/>
      <c r="JY190" s="13"/>
      <c r="JZ190" s="13"/>
      <c r="KA190" s="13"/>
      <c r="KB190" s="13"/>
      <c r="KC190" s="13"/>
      <c r="KD190" s="13"/>
      <c r="KE190" s="13"/>
      <c r="KF190" s="13"/>
      <c r="KG190" s="13"/>
      <c r="KH190" s="13"/>
      <c r="KI190" s="13"/>
      <c r="KJ190" s="13"/>
      <c r="KK190" s="13"/>
      <c r="KL190" s="13"/>
      <c r="KM190" s="13"/>
      <c r="KN190" s="13"/>
      <c r="KO190" s="13"/>
      <c r="KP190" s="13"/>
      <c r="KQ190" s="13"/>
      <c r="KR190" s="13"/>
      <c r="KS190" s="13"/>
      <c r="KT190" s="13"/>
      <c r="KU190" s="13"/>
      <c r="KV190" s="13"/>
      <c r="KW190" s="13"/>
      <c r="KX190" s="13"/>
      <c r="KY190" s="13"/>
      <c r="KZ190" s="13"/>
      <c r="LA190" s="13"/>
      <c r="LB190" s="13"/>
      <c r="LC190" s="13"/>
      <c r="LD190" s="13"/>
      <c r="LE190" s="13"/>
      <c r="LF190" s="13"/>
      <c r="LG190" s="13"/>
      <c r="LH190" s="13"/>
      <c r="LI190" s="13"/>
      <c r="LJ190" s="13"/>
      <c r="LK190" s="13"/>
      <c r="LL190" s="13"/>
      <c r="LM190" s="13"/>
      <c r="LN190" s="13"/>
      <c r="LO190" s="13"/>
      <c r="LP190" s="13"/>
      <c r="LQ190" s="13"/>
      <c r="LR190" s="13"/>
      <c r="LS190" s="13"/>
      <c r="LT190" s="13"/>
      <c r="LU190" s="13"/>
      <c r="LV190" s="13"/>
      <c r="LW190" s="13"/>
      <c r="LX190" s="13"/>
      <c r="LY190" s="13"/>
      <c r="LZ190" s="13"/>
      <c r="MA190" s="13"/>
      <c r="MB190" s="13"/>
      <c r="MC190" s="13"/>
      <c r="MD190" s="13"/>
      <c r="ME190" s="13"/>
      <c r="MF190" s="13"/>
      <c r="MG190" s="13"/>
      <c r="MH190" s="13"/>
      <c r="MI190" s="13"/>
      <c r="MJ190" s="13"/>
      <c r="MK190" s="13"/>
      <c r="ML190" s="13"/>
      <c r="MM190" s="13"/>
      <c r="MN190" s="13"/>
      <c r="MO190" s="13"/>
      <c r="MP190" s="13"/>
      <c r="MQ190" s="13"/>
      <c r="MR190" s="13"/>
      <c r="MS190" s="13"/>
      <c r="MT190" s="13"/>
      <c r="MU190" s="13"/>
      <c r="MV190" s="13"/>
      <c r="MW190" s="13"/>
      <c r="MX190" s="13"/>
      <c r="MY190" s="13"/>
      <c r="MZ190" s="13"/>
      <c r="NA190" s="13"/>
      <c r="NB190" s="13"/>
      <c r="NC190" s="13"/>
      <c r="ND190" s="13"/>
      <c r="NE190" s="13"/>
      <c r="NF190" s="13"/>
      <c r="NG190" s="13"/>
      <c r="NH190" s="13"/>
      <c r="NI190" s="13"/>
      <c r="NJ190" s="13"/>
      <c r="NK190" s="13"/>
      <c r="NL190" s="13"/>
      <c r="NM190" s="13"/>
      <c r="NN190" s="13"/>
      <c r="NO190" s="13"/>
      <c r="NP190" s="13"/>
      <c r="NQ190" s="13"/>
      <c r="NR190" s="13"/>
      <c r="NS190" s="13"/>
      <c r="NT190" s="13"/>
      <c r="NU190" s="13"/>
      <c r="NV190" s="13"/>
      <c r="NW190" s="13"/>
      <c r="NX190" s="13"/>
      <c r="NY190" s="13"/>
      <c r="NZ190" s="13"/>
      <c r="OA190" s="13"/>
      <c r="OB190" s="13"/>
      <c r="OC190" s="13"/>
      <c r="OD190" s="13"/>
      <c r="OE190" s="13"/>
      <c r="OF190" s="13"/>
      <c r="OG190" s="13"/>
      <c r="OH190" s="13"/>
      <c r="OI190" s="13"/>
      <c r="OJ190" s="13"/>
      <c r="OK190" s="13"/>
      <c r="OL190" s="13"/>
      <c r="OM190" s="13"/>
      <c r="ON190" s="13"/>
      <c r="OO190" s="13"/>
      <c r="OP190" s="13"/>
      <c r="OQ190" s="13"/>
      <c r="OR190" s="13"/>
      <c r="OS190" s="13"/>
      <c r="OT190" s="13"/>
      <c r="OU190" s="13"/>
      <c r="OV190" s="13"/>
      <c r="OW190" s="13"/>
      <c r="OX190" s="13"/>
      <c r="OY190" s="13"/>
      <c r="OZ190" s="13"/>
      <c r="PA190" s="13"/>
      <c r="PB190" s="13"/>
      <c r="PC190" s="13"/>
      <c r="PD190" s="13"/>
      <c r="PE190" s="13"/>
      <c r="PF190" s="13"/>
      <c r="PG190" s="13"/>
      <c r="PH190" s="13"/>
      <c r="PI190" s="13"/>
      <c r="PJ190" s="13"/>
      <c r="PK190" s="13"/>
      <c r="PL190" s="13"/>
      <c r="PM190" s="13"/>
      <c r="PN190" s="13"/>
      <c r="PO190" s="13"/>
      <c r="PP190" s="13"/>
      <c r="PQ190" s="13"/>
      <c r="PR190" s="13"/>
      <c r="PS190" s="13"/>
      <c r="PT190" s="13"/>
      <c r="PU190" s="13"/>
      <c r="PV190" s="13"/>
      <c r="PW190" s="13"/>
      <c r="PX190" s="13"/>
      <c r="PY190" s="13"/>
      <c r="PZ190" s="13"/>
      <c r="QA190" s="13"/>
      <c r="QB190" s="13"/>
      <c r="QC190" s="13"/>
      <c r="QD190" s="13"/>
      <c r="QE190" s="13"/>
      <c r="QF190" s="13"/>
      <c r="QG190" s="13"/>
      <c r="QH190" s="13"/>
      <c r="QI190" s="13"/>
      <c r="QJ190" s="13"/>
      <c r="QK190" s="13"/>
      <c r="QL190" s="13"/>
      <c r="QM190" s="13"/>
      <c r="QN190" s="13"/>
      <c r="QO190" s="13"/>
      <c r="QP190" s="13"/>
      <c r="QQ190" s="13"/>
      <c r="QR190" s="13"/>
      <c r="QS190" s="13"/>
      <c r="QT190" s="13"/>
      <c r="QU190" s="13"/>
      <c r="QV190" s="13"/>
      <c r="QW190" s="13"/>
      <c r="QX190" s="13"/>
      <c r="QY190" s="13"/>
      <c r="QZ190" s="13"/>
      <c r="RA190" s="13"/>
      <c r="RB190" s="13"/>
      <c r="RC190" s="13"/>
      <c r="RD190" s="13"/>
      <c r="RE190" s="13"/>
      <c r="RF190" s="13"/>
      <c r="RG190" s="13"/>
      <c r="RH190" s="13"/>
      <c r="RI190" s="13"/>
      <c r="RJ190" s="13"/>
      <c r="RK190" s="13"/>
      <c r="RL190" s="13"/>
      <c r="RM190" s="13"/>
      <c r="RN190" s="13"/>
      <c r="RO190" s="13"/>
      <c r="RP190" s="13"/>
      <c r="RQ190" s="13"/>
      <c r="RR190" s="13"/>
      <c r="RS190" s="13"/>
      <c r="RT190" s="13"/>
      <c r="RU190" s="13"/>
      <c r="RV190" s="13"/>
      <c r="RW190" s="13"/>
      <c r="RX190" s="13"/>
      <c r="RY190" s="13"/>
      <c r="RZ190" s="13"/>
      <c r="SA190" s="13"/>
      <c r="SB190" s="13"/>
      <c r="SC190" s="13"/>
      <c r="SD190" s="13"/>
      <c r="SE190" s="13"/>
      <c r="SF190" s="13"/>
      <c r="SG190" s="13"/>
      <c r="SH190" s="13"/>
      <c r="SI190" s="13"/>
      <c r="SJ190" s="13"/>
      <c r="SK190" s="13"/>
      <c r="SL190" s="13"/>
      <c r="SM190" s="13"/>
      <c r="SN190" s="13"/>
      <c r="SO190" s="13"/>
      <c r="SP190" s="13"/>
      <c r="SQ190" s="13"/>
      <c r="SR190" s="13"/>
      <c r="SS190" s="13"/>
      <c r="ST190" s="13"/>
      <c r="SU190" s="13"/>
      <c r="SV190" s="13"/>
      <c r="SW190" s="13"/>
      <c r="SX190" s="13"/>
      <c r="SY190" s="13"/>
      <c r="SZ190" s="13"/>
      <c r="TA190" s="13"/>
      <c r="TB190" s="13"/>
      <c r="TC190" s="13"/>
      <c r="TD190" s="13"/>
      <c r="TE190" s="13"/>
      <c r="TF190" s="13"/>
      <c r="TG190" s="13"/>
      <c r="TH190" s="13"/>
      <c r="TI190" s="13"/>
      <c r="TJ190" s="13"/>
      <c r="TK190" s="13"/>
      <c r="TL190" s="13"/>
      <c r="TM190" s="13"/>
      <c r="TN190" s="13"/>
      <c r="TO190" s="13"/>
      <c r="TP190" s="13"/>
      <c r="TQ190" s="13"/>
      <c r="TR190" s="13"/>
      <c r="TS190" s="13"/>
      <c r="TT190" s="13"/>
      <c r="TU190" s="13"/>
      <c r="TV190" s="13"/>
      <c r="TW190" s="13"/>
      <c r="TX190" s="13"/>
      <c r="TY190" s="13"/>
      <c r="TZ190" s="13"/>
      <c r="UA190" s="13"/>
      <c r="UB190" s="13"/>
      <c r="UC190" s="13"/>
      <c r="UD190" s="13"/>
      <c r="UE190" s="13"/>
      <c r="UF190" s="13"/>
      <c r="UG190" s="13"/>
      <c r="UH190" s="13"/>
      <c r="UI190" s="13"/>
      <c r="UJ190" s="13"/>
      <c r="UK190" s="13"/>
      <c r="UL190" s="13"/>
      <c r="UM190" s="13"/>
      <c r="UN190" s="13"/>
      <c r="UO190" s="13"/>
      <c r="UP190" s="13"/>
      <c r="UQ190" s="13"/>
      <c r="UR190" s="13"/>
      <c r="US190" s="13"/>
      <c r="UT190" s="13"/>
      <c r="UU190" s="13"/>
      <c r="UV190" s="13"/>
      <c r="UW190" s="13"/>
      <c r="UX190" s="13"/>
      <c r="UY190" s="13"/>
      <c r="UZ190" s="13"/>
      <c r="VA190" s="13"/>
      <c r="VB190" s="13"/>
      <c r="VC190" s="13"/>
      <c r="VD190" s="13"/>
      <c r="VE190" s="13"/>
      <c r="VF190" s="13"/>
      <c r="VG190" s="13"/>
      <c r="VH190" s="13"/>
      <c r="VI190" s="13"/>
      <c r="VJ190" s="13"/>
      <c r="VK190" s="13"/>
      <c r="VL190" s="13"/>
      <c r="VM190" s="13"/>
      <c r="VN190" s="13"/>
      <c r="VO190" s="13"/>
      <c r="VP190" s="13"/>
      <c r="VQ190" s="13"/>
      <c r="VR190" s="13"/>
      <c r="VS190" s="13"/>
      <c r="VT190" s="13"/>
    </row>
    <row r="191" spans="1:592" s="13" customFormat="1" ht="63" x14ac:dyDescent="0.2">
      <c r="A191" s="10" t="s">
        <v>435</v>
      </c>
      <c r="B191" s="11">
        <v>72744723</v>
      </c>
      <c r="C191" s="11" t="s">
        <v>324</v>
      </c>
      <c r="D191" s="11">
        <v>6191395</v>
      </c>
      <c r="E191" s="225" t="s">
        <v>325</v>
      </c>
      <c r="F191" s="192" t="s">
        <v>300</v>
      </c>
      <c r="G191" s="201">
        <f>IFERROR(VLOOKUP(D191,List1!$A$5:$B$227,2,FALSE),"0")</f>
        <v>1704000</v>
      </c>
      <c r="H191" s="41" t="str">
        <f>IFERROR(VLOOKUP(D191,List1!$D$5:$E$41,2,FALSE),"0")</f>
        <v>0</v>
      </c>
      <c r="I191" s="41" t="str">
        <f>IFERROR(VLOOKUP(D191,List1!$G$5:$H$227,2,FALSE),"0")</f>
        <v>0</v>
      </c>
      <c r="J191" s="40">
        <f t="shared" si="18"/>
        <v>1704000</v>
      </c>
      <c r="K191" s="41" t="str">
        <f>IFERROR(VLOOKUP(D191,List1!$J$5:$K$227,2,FALSE),"0")</f>
        <v>0</v>
      </c>
      <c r="L191" s="41" t="str">
        <f>IFERROR(VLOOKUP(D191,List1!$M$5:$N$112,2,FALSE),"0")</f>
        <v>0</v>
      </c>
      <c r="M191" s="43">
        <v>0</v>
      </c>
      <c r="N191" s="80">
        <f>VLOOKUP($D$5:$D$251,List2!$A$2:$B$241,2,FALSE)</f>
        <v>0</v>
      </c>
      <c r="O191" s="80">
        <f>IFERROR(VLOOKUP($D$5:$D$260,List1!$Y$5:$Z$244,2,FALSE),0)</f>
        <v>0</v>
      </c>
      <c r="P191" s="202">
        <f>IFERROR(VLOOKUP($D$5:$D$260,List1!$AB$5:$AC$244,2,FALSE),0)</f>
        <v>0</v>
      </c>
      <c r="Q191" s="201">
        <f>IFERROR(VLOOKUP($D$5:$D$260,List1!$S$5:$T$231,2,FALSE),0)</f>
        <v>1536152</v>
      </c>
      <c r="R191" s="41">
        <v>0</v>
      </c>
      <c r="S191" s="41">
        <f>IFERROR(VLOOKUP($D$5:$D$260,List1!$AE$5:$AF$231,2,FALSE),0)</f>
        <v>300000</v>
      </c>
      <c r="T191" s="41">
        <f t="shared" si="19"/>
        <v>1836152</v>
      </c>
      <c r="U191" s="41" t="str">
        <f>IFERROR(VLOOKUP(D191,List1!$P$5:$Q$110,2,FALSE),"0")</f>
        <v>0</v>
      </c>
      <c r="V191" s="41">
        <v>0</v>
      </c>
      <c r="W191" s="248">
        <v>0</v>
      </c>
      <c r="X191" s="211">
        <f t="shared" si="20"/>
        <v>1836152</v>
      </c>
      <c r="Y191" s="219"/>
      <c r="Z191" s="80">
        <f>IFERROR(VLOOKUP($D$5:$D$260,#REF!,3,FALSE),0)</f>
        <v>0</v>
      </c>
      <c r="AA191" s="80">
        <f>IFERROR(VLOOKUP($D$5:$D$260,#REF!,3,FALSE),0)</f>
        <v>0</v>
      </c>
      <c r="AB191" s="243">
        <v>0</v>
      </c>
      <c r="AC191" s="202">
        <f t="shared" si="21"/>
        <v>0</v>
      </c>
      <c r="AD191" s="259">
        <f t="shared" si="22"/>
        <v>0</v>
      </c>
      <c r="AE191" s="260">
        <f t="shared" si="23"/>
        <v>0</v>
      </c>
      <c r="AF191" s="260">
        <f t="shared" si="24"/>
        <v>0</v>
      </c>
      <c r="AG191" s="260">
        <f t="shared" si="25"/>
        <v>0</v>
      </c>
    </row>
    <row r="192" spans="1:592" s="13" customFormat="1" ht="63" x14ac:dyDescent="0.2">
      <c r="A192" s="10" t="s">
        <v>436</v>
      </c>
      <c r="B192" s="11">
        <v>71177248</v>
      </c>
      <c r="C192" s="11" t="s">
        <v>324</v>
      </c>
      <c r="D192" s="11">
        <v>5475959</v>
      </c>
      <c r="E192" s="225" t="s">
        <v>325</v>
      </c>
      <c r="F192" s="192" t="s">
        <v>300</v>
      </c>
      <c r="G192" s="201">
        <f>IFERROR(VLOOKUP(D192,List1!$A$5:$B$227,2,FALSE),"0")</f>
        <v>1600000</v>
      </c>
      <c r="H192" s="41" t="str">
        <f>IFERROR(VLOOKUP(D192,List1!$D$5:$E$41,2,FALSE),"0")</f>
        <v>0</v>
      </c>
      <c r="I192" s="41">
        <f>IFERROR(VLOOKUP(D192,List1!$G$5:$H$227,2,FALSE),"0")</f>
        <v>138632</v>
      </c>
      <c r="J192" s="40">
        <f t="shared" si="18"/>
        <v>1738632</v>
      </c>
      <c r="K192" s="41" t="str">
        <f>IFERROR(VLOOKUP(D192,List1!$J$5:$K$227,2,FALSE),"0")</f>
        <v>0</v>
      </c>
      <c r="L192" s="41" t="str">
        <f>IFERROR(VLOOKUP(D192,List1!$M$5:$N$112,2,FALSE),"0")</f>
        <v>0</v>
      </c>
      <c r="M192" s="43">
        <v>0</v>
      </c>
      <c r="N192" s="80">
        <f>VLOOKUP($D$5:$D$251,List2!$A$2:$B$241,2,FALSE)</f>
        <v>0</v>
      </c>
      <c r="O192" s="80">
        <f>IFERROR(VLOOKUP($D$5:$D$260,List1!$Y$5:$Z$244,2,FALSE),0)</f>
        <v>0</v>
      </c>
      <c r="P192" s="202">
        <f>IFERROR(VLOOKUP($D$5:$D$260,List1!$AB$5:$AC$244,2,FALSE),0)</f>
        <v>0</v>
      </c>
      <c r="Q192" s="201">
        <f>IFERROR(VLOOKUP($D$5:$D$260,List1!$S$5:$T$231,2,FALSE),0)</f>
        <v>1536152</v>
      </c>
      <c r="R192" s="41">
        <v>0</v>
      </c>
      <c r="S192" s="41">
        <f>IFERROR(VLOOKUP($D$5:$D$260,List1!$AE$5:$AF$231,2,FALSE),0)</f>
        <v>100000</v>
      </c>
      <c r="T192" s="41">
        <f t="shared" si="19"/>
        <v>1636152</v>
      </c>
      <c r="U192" s="41" t="str">
        <f>IFERROR(VLOOKUP(D192,List1!$P$5:$Q$110,2,FALSE),"0")</f>
        <v>0</v>
      </c>
      <c r="V192" s="41">
        <v>0</v>
      </c>
      <c r="W192" s="248">
        <v>0</v>
      </c>
      <c r="X192" s="211">
        <f t="shared" si="20"/>
        <v>1636152</v>
      </c>
      <c r="Y192" s="219"/>
      <c r="Z192" s="80">
        <f>IFERROR(VLOOKUP($D$5:$D$260,#REF!,3,FALSE),0)</f>
        <v>0</v>
      </c>
      <c r="AA192" s="80">
        <f>IFERROR(VLOOKUP($D$5:$D$260,#REF!,3,FALSE),0)</f>
        <v>0</v>
      </c>
      <c r="AB192" s="243">
        <v>0</v>
      </c>
      <c r="AC192" s="202">
        <f t="shared" si="21"/>
        <v>0</v>
      </c>
      <c r="AD192" s="259">
        <f t="shared" si="22"/>
        <v>0</v>
      </c>
      <c r="AE192" s="260">
        <f t="shared" si="23"/>
        <v>0</v>
      </c>
      <c r="AF192" s="260">
        <f t="shared" si="24"/>
        <v>0</v>
      </c>
      <c r="AG192" s="260">
        <f t="shared" si="25"/>
        <v>0</v>
      </c>
    </row>
    <row r="193" spans="1:592" s="13" customFormat="1" ht="63" x14ac:dyDescent="0.2">
      <c r="A193" s="17" t="s">
        <v>437</v>
      </c>
      <c r="B193" s="18">
        <v>8163936</v>
      </c>
      <c r="C193" s="11" t="s">
        <v>324</v>
      </c>
      <c r="D193" s="16">
        <v>7663161</v>
      </c>
      <c r="E193" s="226" t="s">
        <v>325</v>
      </c>
      <c r="F193" s="193" t="s">
        <v>294</v>
      </c>
      <c r="G193" s="201">
        <f>IFERROR(VLOOKUP(D193,List1!$A$5:$B$227,2,FALSE),"0")</f>
        <v>2391000</v>
      </c>
      <c r="H193" s="41" t="str">
        <f>IFERROR(VLOOKUP(D193,List1!$D$5:$E$41,2,FALSE),"0")</f>
        <v>0</v>
      </c>
      <c r="I193" s="41" t="str">
        <f>IFERROR(VLOOKUP(D193,List1!$G$5:$H$227,2,FALSE),"0")</f>
        <v>0</v>
      </c>
      <c r="J193" s="40">
        <f t="shared" si="18"/>
        <v>2391000</v>
      </c>
      <c r="K193" s="41" t="str">
        <f>IFERROR(VLOOKUP(D193,List1!$J$5:$K$227,2,FALSE),"0")</f>
        <v>0</v>
      </c>
      <c r="L193" s="41" t="str">
        <f>IFERROR(VLOOKUP(D193,List1!$M$5:$N$112,2,FALSE),"0")</f>
        <v>0</v>
      </c>
      <c r="M193" s="43">
        <v>0</v>
      </c>
      <c r="N193" s="80">
        <f>VLOOKUP($D$5:$D$251,List2!$A$2:$B$241,2,FALSE)</f>
        <v>178506</v>
      </c>
      <c r="O193" s="80">
        <f>IFERROR(VLOOKUP($D$5:$D$260,List1!$Y$5:$Z$244,2,FALSE),0)</f>
        <v>0</v>
      </c>
      <c r="P193" s="202">
        <f>IFERROR(VLOOKUP($D$5:$D$260,List1!$AB$5:$AC$244,2,FALSE),0)</f>
        <v>0</v>
      </c>
      <c r="Q193" s="201">
        <f>IFERROR(VLOOKUP($D$5:$D$260,List1!$S$5:$T$231,2,FALSE),0)</f>
        <v>2996265</v>
      </c>
      <c r="R193" s="41">
        <v>0</v>
      </c>
      <c r="S193" s="41">
        <f>IFERROR(VLOOKUP($D$5:$D$260,List1!$AE$5:$AF$231,2,FALSE),0)</f>
        <v>600000</v>
      </c>
      <c r="T193" s="41">
        <f t="shared" si="19"/>
        <v>3596265</v>
      </c>
      <c r="U193" s="41" t="str">
        <f>IFERROR(VLOOKUP(D193,List1!$P$5:$Q$110,2,FALSE),"0")</f>
        <v>0</v>
      </c>
      <c r="V193" s="41">
        <v>0</v>
      </c>
      <c r="W193" s="248">
        <v>0</v>
      </c>
      <c r="X193" s="211">
        <f t="shared" si="20"/>
        <v>3596265</v>
      </c>
      <c r="Y193" s="219"/>
      <c r="Z193" s="80">
        <f>IFERROR(VLOOKUP($D$5:$D$260,#REF!,3,FALSE),0)</f>
        <v>0</v>
      </c>
      <c r="AA193" s="80">
        <f>IFERROR(VLOOKUP($D$5:$D$260,#REF!,3,FALSE),0)</f>
        <v>0</v>
      </c>
      <c r="AB193" s="243">
        <v>0</v>
      </c>
      <c r="AC193" s="202">
        <f t="shared" si="21"/>
        <v>0</v>
      </c>
      <c r="AD193" s="259">
        <f t="shared" si="22"/>
        <v>0</v>
      </c>
      <c r="AE193" s="260">
        <f t="shared" si="23"/>
        <v>0</v>
      </c>
      <c r="AF193" s="260">
        <f t="shared" si="24"/>
        <v>0</v>
      </c>
      <c r="AG193" s="260">
        <f t="shared" si="25"/>
        <v>0</v>
      </c>
    </row>
    <row r="194" spans="1:592" s="24" customFormat="1" ht="31.5" x14ac:dyDescent="0.2">
      <c r="A194" s="10" t="s">
        <v>438</v>
      </c>
      <c r="B194" s="11">
        <v>25447726</v>
      </c>
      <c r="C194" s="11" t="s">
        <v>318</v>
      </c>
      <c r="D194" s="11">
        <v>2049573</v>
      </c>
      <c r="E194" s="225" t="s">
        <v>321</v>
      </c>
      <c r="F194" s="192" t="s">
        <v>294</v>
      </c>
      <c r="G194" s="201">
        <f>IFERROR(VLOOKUP(D194,List1!$A$5:$B$227,2,FALSE),"0")</f>
        <v>10333000</v>
      </c>
      <c r="H194" s="41" t="str">
        <f>IFERROR(VLOOKUP(D194,List1!$D$5:$E$41,2,FALSE),"0")</f>
        <v>0</v>
      </c>
      <c r="I194" s="41">
        <f>IFERROR(VLOOKUP(D194,List1!$G$5:$H$227,2,FALSE),"0")</f>
        <v>2301071</v>
      </c>
      <c r="J194" s="40">
        <f t="shared" si="18"/>
        <v>12634071</v>
      </c>
      <c r="K194" s="41">
        <f>IFERROR(VLOOKUP(D194,List1!$J$5:$K$227,2,FALSE),"0")</f>
        <v>290000</v>
      </c>
      <c r="L194" s="41">
        <f>IFERROR(VLOOKUP(D194,List1!$M$5:$N$112,2,FALSE),"0")</f>
        <v>268000</v>
      </c>
      <c r="M194" s="43">
        <v>0</v>
      </c>
      <c r="N194" s="80">
        <f>VLOOKUP($D$5:$D$251,List2!$A$2:$B$241,2,FALSE)</f>
        <v>350000</v>
      </c>
      <c r="O194" s="80">
        <f>IFERROR(VLOOKUP($D$5:$D$260,List1!$Y$5:$Z$244,2,FALSE),0)</f>
        <v>0</v>
      </c>
      <c r="P194" s="202">
        <f>IFERROR(VLOOKUP($D$5:$D$260,List1!$AB$5:$AC$244,2,FALSE),0)</f>
        <v>0</v>
      </c>
      <c r="Q194" s="201">
        <f>IFERROR(VLOOKUP($D$5:$D$260,List1!$S$5:$T$231,2,FALSE),0)</f>
        <v>10753066</v>
      </c>
      <c r="R194" s="41">
        <v>0</v>
      </c>
      <c r="S194" s="41">
        <f>IFERROR(VLOOKUP($D$5:$D$260,List1!$AE$5:$AF$231,2,FALSE),0)</f>
        <v>2150000</v>
      </c>
      <c r="T194" s="41">
        <f t="shared" si="19"/>
        <v>12903066</v>
      </c>
      <c r="U194" s="41">
        <f>IFERROR(VLOOKUP(D194,List1!$P$5:$Q$110,2,FALSE),"0")</f>
        <v>490000</v>
      </c>
      <c r="V194" s="41">
        <v>0</v>
      </c>
      <c r="W194" s="248">
        <v>0</v>
      </c>
      <c r="X194" s="211">
        <f t="shared" si="20"/>
        <v>13393066</v>
      </c>
      <c r="Y194" s="219"/>
      <c r="Z194" s="80">
        <f>IFERROR(VLOOKUP($D$5:$D$260,#REF!,3,FALSE),0)</f>
        <v>0</v>
      </c>
      <c r="AA194" s="80">
        <f>IFERROR(VLOOKUP($D$5:$D$260,#REF!,3,FALSE),0)</f>
        <v>0</v>
      </c>
      <c r="AB194" s="243">
        <v>0</v>
      </c>
      <c r="AC194" s="202">
        <f t="shared" si="21"/>
        <v>0</v>
      </c>
      <c r="AD194" s="259">
        <f t="shared" si="22"/>
        <v>-490000</v>
      </c>
      <c r="AE194" s="260">
        <f t="shared" si="23"/>
        <v>-1</v>
      </c>
      <c r="AF194" s="260">
        <f t="shared" si="24"/>
        <v>-1</v>
      </c>
      <c r="AG194" s="260">
        <f t="shared" si="25"/>
        <v>-1</v>
      </c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  <c r="FG194" s="23"/>
      <c r="FH194" s="23"/>
      <c r="FI194" s="23"/>
      <c r="FJ194" s="23"/>
      <c r="FK194" s="23"/>
      <c r="FL194" s="23"/>
      <c r="FM194" s="23"/>
      <c r="FN194" s="23"/>
      <c r="FO194" s="23"/>
      <c r="FP194" s="23"/>
      <c r="FQ194" s="23"/>
      <c r="FR194" s="23"/>
      <c r="FS194" s="23"/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  <c r="GD194" s="23"/>
      <c r="GE194" s="23"/>
      <c r="GF194" s="23"/>
      <c r="GG194" s="23"/>
      <c r="GH194" s="23"/>
      <c r="GI194" s="23"/>
      <c r="GJ194" s="23"/>
      <c r="GK194" s="23"/>
      <c r="GL194" s="23"/>
      <c r="GM194" s="23"/>
      <c r="GN194" s="23"/>
      <c r="GO194" s="23"/>
      <c r="GP194" s="23"/>
      <c r="GQ194" s="23"/>
      <c r="GR194" s="23"/>
      <c r="GS194" s="23"/>
      <c r="GT194" s="23"/>
      <c r="GU194" s="23"/>
      <c r="GV194" s="23"/>
      <c r="GW194" s="23"/>
      <c r="GX194" s="23"/>
      <c r="GY194" s="23"/>
      <c r="GZ194" s="23"/>
      <c r="HA194" s="23"/>
      <c r="HB194" s="23"/>
      <c r="HC194" s="23"/>
      <c r="HD194" s="23"/>
      <c r="HE194" s="23"/>
      <c r="HF194" s="23"/>
      <c r="HG194" s="23"/>
      <c r="HH194" s="23"/>
      <c r="HI194" s="23"/>
      <c r="HJ194" s="23"/>
      <c r="HK194" s="23"/>
      <c r="HL194" s="23"/>
      <c r="HM194" s="23"/>
      <c r="HN194" s="23"/>
      <c r="HO194" s="23"/>
      <c r="HP194" s="23"/>
      <c r="HQ194" s="23"/>
      <c r="HR194" s="23"/>
      <c r="HS194" s="23"/>
      <c r="HT194" s="23"/>
      <c r="HU194" s="23"/>
      <c r="HV194" s="23"/>
      <c r="HW194" s="23"/>
      <c r="HX194" s="23"/>
      <c r="HY194" s="23"/>
      <c r="HZ194" s="23"/>
      <c r="IA194" s="23"/>
      <c r="IB194" s="23"/>
      <c r="IC194" s="23"/>
      <c r="ID194" s="23"/>
      <c r="IE194" s="23"/>
      <c r="IF194" s="23"/>
      <c r="IG194" s="23"/>
      <c r="IH194" s="23"/>
      <c r="II194" s="23"/>
      <c r="IJ194" s="23"/>
      <c r="IK194" s="23"/>
      <c r="IL194" s="23"/>
      <c r="IM194" s="23"/>
      <c r="IN194" s="23"/>
      <c r="IO194" s="23"/>
      <c r="IP194" s="23"/>
      <c r="IQ194" s="23"/>
      <c r="IR194" s="23"/>
      <c r="IS194" s="23"/>
      <c r="IT194" s="23"/>
      <c r="IU194" s="23"/>
      <c r="IV194" s="23"/>
      <c r="IW194" s="23"/>
      <c r="IX194" s="23"/>
      <c r="IY194" s="23"/>
      <c r="IZ194" s="23"/>
      <c r="JA194" s="23"/>
      <c r="JB194" s="23"/>
      <c r="JC194" s="23"/>
      <c r="JD194" s="23"/>
      <c r="JE194" s="23"/>
      <c r="JF194" s="23"/>
      <c r="JG194" s="23"/>
      <c r="JH194" s="23"/>
      <c r="JI194" s="23"/>
      <c r="JJ194" s="23"/>
      <c r="JK194" s="23"/>
      <c r="JL194" s="23"/>
      <c r="JM194" s="23"/>
      <c r="JN194" s="23"/>
      <c r="JO194" s="23"/>
      <c r="JP194" s="23"/>
      <c r="JQ194" s="23"/>
      <c r="JR194" s="23"/>
      <c r="JS194" s="23"/>
      <c r="JT194" s="23"/>
      <c r="JU194" s="23"/>
      <c r="JV194" s="23"/>
      <c r="JW194" s="23"/>
      <c r="JX194" s="23"/>
      <c r="JY194" s="23"/>
      <c r="JZ194" s="23"/>
      <c r="KA194" s="23"/>
      <c r="KB194" s="23"/>
      <c r="KC194" s="23"/>
      <c r="KD194" s="23"/>
      <c r="KE194" s="23"/>
      <c r="KF194" s="23"/>
      <c r="KG194" s="23"/>
      <c r="KH194" s="23"/>
      <c r="KI194" s="23"/>
      <c r="KJ194" s="23"/>
      <c r="KK194" s="23"/>
      <c r="KL194" s="23"/>
      <c r="KM194" s="23"/>
      <c r="KN194" s="23"/>
      <c r="KO194" s="23"/>
      <c r="KP194" s="23"/>
      <c r="KQ194" s="23"/>
      <c r="KR194" s="23"/>
      <c r="KS194" s="23"/>
      <c r="KT194" s="23"/>
      <c r="KU194" s="23"/>
      <c r="KV194" s="23"/>
      <c r="KW194" s="23"/>
      <c r="KX194" s="23"/>
      <c r="KY194" s="23"/>
      <c r="KZ194" s="23"/>
      <c r="LA194" s="23"/>
      <c r="LB194" s="23"/>
      <c r="LC194" s="23"/>
      <c r="LD194" s="23"/>
      <c r="LE194" s="23"/>
      <c r="LF194" s="23"/>
      <c r="LG194" s="23"/>
      <c r="LH194" s="23"/>
      <c r="LI194" s="23"/>
      <c r="LJ194" s="23"/>
      <c r="LK194" s="23"/>
      <c r="LL194" s="23"/>
      <c r="LM194" s="23"/>
      <c r="LN194" s="23"/>
      <c r="LO194" s="23"/>
      <c r="LP194" s="23"/>
      <c r="LQ194" s="23"/>
      <c r="LR194" s="23"/>
      <c r="LS194" s="23"/>
      <c r="LT194" s="23"/>
      <c r="LU194" s="23"/>
      <c r="LV194" s="23"/>
      <c r="LW194" s="23"/>
      <c r="LX194" s="23"/>
      <c r="LY194" s="23"/>
      <c r="LZ194" s="23"/>
      <c r="MA194" s="23"/>
      <c r="MB194" s="23"/>
      <c r="MC194" s="23"/>
      <c r="MD194" s="23"/>
      <c r="ME194" s="23"/>
      <c r="MF194" s="23"/>
      <c r="MG194" s="23"/>
      <c r="MH194" s="23"/>
      <c r="MI194" s="23"/>
      <c r="MJ194" s="23"/>
      <c r="MK194" s="23"/>
      <c r="ML194" s="23"/>
      <c r="MM194" s="23"/>
      <c r="MN194" s="23"/>
      <c r="MO194" s="23"/>
      <c r="MP194" s="23"/>
      <c r="MQ194" s="23"/>
      <c r="MR194" s="23"/>
      <c r="MS194" s="23"/>
      <c r="MT194" s="23"/>
      <c r="MU194" s="23"/>
      <c r="MV194" s="23"/>
      <c r="MW194" s="23"/>
      <c r="MX194" s="23"/>
      <c r="MY194" s="23"/>
      <c r="MZ194" s="23"/>
      <c r="NA194" s="23"/>
      <c r="NB194" s="23"/>
      <c r="NC194" s="23"/>
      <c r="ND194" s="23"/>
      <c r="NE194" s="23"/>
      <c r="NF194" s="23"/>
      <c r="NG194" s="23"/>
      <c r="NH194" s="23"/>
      <c r="NI194" s="23"/>
      <c r="NJ194" s="23"/>
      <c r="NK194" s="23"/>
      <c r="NL194" s="23"/>
      <c r="NM194" s="23"/>
      <c r="NN194" s="23"/>
      <c r="NO194" s="23"/>
      <c r="NP194" s="23"/>
      <c r="NQ194" s="23"/>
      <c r="NR194" s="23"/>
      <c r="NS194" s="23"/>
      <c r="NT194" s="23"/>
      <c r="NU194" s="23"/>
      <c r="NV194" s="23"/>
      <c r="NW194" s="23"/>
      <c r="NX194" s="23"/>
      <c r="NY194" s="23"/>
      <c r="NZ194" s="23"/>
      <c r="OA194" s="23"/>
      <c r="OB194" s="23"/>
      <c r="OC194" s="23"/>
      <c r="OD194" s="23"/>
      <c r="OE194" s="23"/>
      <c r="OF194" s="23"/>
      <c r="OG194" s="23"/>
      <c r="OH194" s="23"/>
      <c r="OI194" s="23"/>
      <c r="OJ194" s="23"/>
      <c r="OK194" s="23"/>
      <c r="OL194" s="23"/>
      <c r="OM194" s="23"/>
      <c r="ON194" s="23"/>
      <c r="OO194" s="23"/>
      <c r="OP194" s="23"/>
      <c r="OQ194" s="23"/>
      <c r="OR194" s="23"/>
      <c r="OS194" s="23"/>
      <c r="OT194" s="23"/>
      <c r="OU194" s="23"/>
      <c r="OV194" s="23"/>
      <c r="OW194" s="23"/>
      <c r="OX194" s="23"/>
      <c r="OY194" s="23"/>
      <c r="OZ194" s="23"/>
      <c r="PA194" s="23"/>
      <c r="PB194" s="23"/>
      <c r="PC194" s="23"/>
      <c r="PD194" s="23"/>
      <c r="PE194" s="23"/>
      <c r="PF194" s="23"/>
      <c r="PG194" s="23"/>
      <c r="PH194" s="23"/>
      <c r="PI194" s="23"/>
      <c r="PJ194" s="23"/>
      <c r="PK194" s="23"/>
      <c r="PL194" s="23"/>
      <c r="PM194" s="23"/>
      <c r="PN194" s="23"/>
      <c r="PO194" s="23"/>
      <c r="PP194" s="23"/>
      <c r="PQ194" s="23"/>
      <c r="PR194" s="23"/>
      <c r="PS194" s="23"/>
      <c r="PT194" s="23"/>
      <c r="PU194" s="23"/>
      <c r="PV194" s="23"/>
      <c r="PW194" s="23"/>
      <c r="PX194" s="23"/>
      <c r="PY194" s="23"/>
      <c r="PZ194" s="23"/>
      <c r="QA194" s="23"/>
      <c r="QB194" s="23"/>
      <c r="QC194" s="23"/>
      <c r="QD194" s="23"/>
      <c r="QE194" s="23"/>
      <c r="QF194" s="23"/>
      <c r="QG194" s="23"/>
      <c r="QH194" s="23"/>
      <c r="QI194" s="23"/>
      <c r="QJ194" s="23"/>
      <c r="QK194" s="23"/>
      <c r="QL194" s="23"/>
      <c r="QM194" s="23"/>
      <c r="QN194" s="23"/>
      <c r="QO194" s="23"/>
      <c r="QP194" s="23"/>
      <c r="QQ194" s="23"/>
      <c r="QR194" s="23"/>
      <c r="QS194" s="23"/>
      <c r="QT194" s="23"/>
      <c r="QU194" s="23"/>
      <c r="QV194" s="23"/>
      <c r="QW194" s="23"/>
      <c r="QX194" s="23"/>
      <c r="QY194" s="23"/>
      <c r="QZ194" s="23"/>
      <c r="RA194" s="23"/>
      <c r="RB194" s="23"/>
      <c r="RC194" s="23"/>
      <c r="RD194" s="23"/>
      <c r="RE194" s="23"/>
      <c r="RF194" s="23"/>
      <c r="RG194" s="23"/>
      <c r="RH194" s="23"/>
      <c r="RI194" s="23"/>
      <c r="RJ194" s="23"/>
      <c r="RK194" s="23"/>
      <c r="RL194" s="23"/>
      <c r="RM194" s="23"/>
      <c r="RN194" s="23"/>
      <c r="RO194" s="23"/>
      <c r="RP194" s="23"/>
      <c r="RQ194" s="23"/>
      <c r="RR194" s="23"/>
      <c r="RS194" s="23"/>
      <c r="RT194" s="23"/>
      <c r="RU194" s="23"/>
      <c r="RV194" s="23"/>
      <c r="RW194" s="23"/>
      <c r="RX194" s="23"/>
      <c r="RY194" s="23"/>
      <c r="RZ194" s="23"/>
      <c r="SA194" s="23"/>
      <c r="SB194" s="23"/>
      <c r="SC194" s="23"/>
      <c r="SD194" s="23"/>
      <c r="SE194" s="23"/>
      <c r="SF194" s="23"/>
      <c r="SG194" s="23"/>
      <c r="SH194" s="23"/>
      <c r="SI194" s="23"/>
      <c r="SJ194" s="23"/>
      <c r="SK194" s="23"/>
      <c r="SL194" s="23"/>
      <c r="SM194" s="23"/>
      <c r="SN194" s="23"/>
      <c r="SO194" s="23"/>
      <c r="SP194" s="23"/>
      <c r="SQ194" s="23"/>
      <c r="SR194" s="23"/>
      <c r="SS194" s="23"/>
      <c r="ST194" s="23"/>
      <c r="SU194" s="23"/>
      <c r="SV194" s="23"/>
      <c r="SW194" s="23"/>
      <c r="SX194" s="23"/>
      <c r="SY194" s="23"/>
      <c r="SZ194" s="23"/>
      <c r="TA194" s="23"/>
      <c r="TB194" s="23"/>
      <c r="TC194" s="23"/>
      <c r="TD194" s="23"/>
      <c r="TE194" s="23"/>
      <c r="TF194" s="23"/>
      <c r="TG194" s="23"/>
      <c r="TH194" s="23"/>
      <c r="TI194" s="23"/>
      <c r="TJ194" s="23"/>
      <c r="TK194" s="23"/>
      <c r="TL194" s="23"/>
      <c r="TM194" s="23"/>
      <c r="TN194" s="23"/>
      <c r="TO194" s="23"/>
      <c r="TP194" s="23"/>
      <c r="TQ194" s="23"/>
      <c r="TR194" s="23"/>
      <c r="TS194" s="23"/>
      <c r="TT194" s="23"/>
      <c r="TU194" s="23"/>
      <c r="TV194" s="23"/>
      <c r="TW194" s="23"/>
      <c r="TX194" s="23"/>
      <c r="TY194" s="23"/>
      <c r="TZ194" s="23"/>
      <c r="UA194" s="23"/>
      <c r="UB194" s="23"/>
      <c r="UC194" s="23"/>
      <c r="UD194" s="23"/>
      <c r="UE194" s="23"/>
      <c r="UF194" s="23"/>
      <c r="UG194" s="23"/>
      <c r="UH194" s="23"/>
      <c r="UI194" s="23"/>
      <c r="UJ194" s="23"/>
      <c r="UK194" s="23"/>
      <c r="UL194" s="23"/>
      <c r="UM194" s="23"/>
      <c r="UN194" s="23"/>
      <c r="UO194" s="23"/>
      <c r="UP194" s="23"/>
      <c r="UQ194" s="23"/>
      <c r="UR194" s="23"/>
      <c r="US194" s="23"/>
      <c r="UT194" s="23"/>
      <c r="UU194" s="23"/>
      <c r="UV194" s="23"/>
      <c r="UW194" s="23"/>
      <c r="UX194" s="23"/>
      <c r="UY194" s="23"/>
      <c r="UZ194" s="23"/>
      <c r="VA194" s="23"/>
      <c r="VB194" s="23"/>
      <c r="VC194" s="23"/>
      <c r="VD194" s="23"/>
      <c r="VE194" s="23"/>
      <c r="VF194" s="23"/>
      <c r="VG194" s="23"/>
      <c r="VH194" s="23"/>
      <c r="VI194" s="23"/>
      <c r="VJ194" s="23"/>
      <c r="VK194" s="23"/>
      <c r="VL194" s="23"/>
      <c r="VM194" s="23"/>
      <c r="VN194" s="23"/>
      <c r="VO194" s="23"/>
      <c r="VP194" s="23"/>
      <c r="VQ194" s="23"/>
      <c r="VR194" s="23"/>
      <c r="VS194" s="23"/>
      <c r="VT194" s="23"/>
    </row>
    <row r="195" spans="1:592" s="21" customFormat="1" ht="21" x14ac:dyDescent="0.2">
      <c r="A195" s="10" t="s">
        <v>210</v>
      </c>
      <c r="B195" s="11">
        <v>27004295</v>
      </c>
      <c r="C195" s="11" t="s">
        <v>267</v>
      </c>
      <c r="D195" s="11">
        <v>2930990</v>
      </c>
      <c r="E195" s="228" t="s">
        <v>330</v>
      </c>
      <c r="F195" s="192" t="s">
        <v>300</v>
      </c>
      <c r="G195" s="201">
        <f>IFERROR(VLOOKUP(D195,List1!$A$5:$B$227,2,FALSE),"0")</f>
        <v>2228000</v>
      </c>
      <c r="H195" s="41" t="str">
        <f>IFERROR(VLOOKUP(D195,List1!$D$5:$E$41,2,FALSE),"0")</f>
        <v>0</v>
      </c>
      <c r="I195" s="41" t="str">
        <f>IFERROR(VLOOKUP(D195,List1!$G$5:$H$227,2,FALSE),"0")</f>
        <v>0</v>
      </c>
      <c r="J195" s="40">
        <f t="shared" si="18"/>
        <v>2228000</v>
      </c>
      <c r="K195" s="41">
        <f>IFERROR(VLOOKUP(D195,List1!$J$5:$K$227,2,FALSE),"0")</f>
        <v>107000</v>
      </c>
      <c r="L195" s="41">
        <f>IFERROR(VLOOKUP(D195,List1!$M$5:$N$112,2,FALSE),"0")</f>
        <v>45000</v>
      </c>
      <c r="M195" s="43">
        <v>0</v>
      </c>
      <c r="N195" s="80">
        <f>VLOOKUP($D$5:$D$251,List2!$A$2:$B$241,2,FALSE)</f>
        <v>320000</v>
      </c>
      <c r="O195" s="80">
        <f>IFERROR(VLOOKUP($D$5:$D$260,List1!$Y$5:$Z$244,2,FALSE),0)</f>
        <v>0</v>
      </c>
      <c r="P195" s="202">
        <f>IFERROR(VLOOKUP($D$5:$D$260,List1!$AB$5:$AC$244,2,FALSE),0)</f>
        <v>0</v>
      </c>
      <c r="Q195" s="201">
        <f>IFERROR(VLOOKUP($D$5:$D$260,List1!$S$5:$T$231,2,FALSE),0)</f>
        <v>2073805</v>
      </c>
      <c r="R195" s="41">
        <v>0</v>
      </c>
      <c r="S195" s="41">
        <f>IFERROR(VLOOKUP($D$5:$D$260,List1!$AE$5:$AF$231,2,FALSE),0)</f>
        <v>600000</v>
      </c>
      <c r="T195" s="41">
        <f t="shared" si="19"/>
        <v>2673805</v>
      </c>
      <c r="U195" s="41">
        <f>IFERROR(VLOOKUP(D195,List1!$P$5:$Q$110,2,FALSE),"0")</f>
        <v>290000</v>
      </c>
      <c r="V195" s="41">
        <v>0</v>
      </c>
      <c r="W195" s="248">
        <v>0</v>
      </c>
      <c r="X195" s="211">
        <f t="shared" si="20"/>
        <v>2963805</v>
      </c>
      <c r="Y195" s="219"/>
      <c r="Z195" s="80">
        <f>IFERROR(VLOOKUP($D$5:$D$260,#REF!,3,FALSE),0)</f>
        <v>0</v>
      </c>
      <c r="AA195" s="80">
        <f>IFERROR(VLOOKUP($D$5:$D$260,#REF!,3,FALSE),0)</f>
        <v>0</v>
      </c>
      <c r="AB195" s="243">
        <v>0</v>
      </c>
      <c r="AC195" s="202">
        <f t="shared" si="21"/>
        <v>0</v>
      </c>
      <c r="AD195" s="259">
        <f t="shared" si="22"/>
        <v>-290000</v>
      </c>
      <c r="AE195" s="260">
        <f t="shared" si="23"/>
        <v>-1</v>
      </c>
      <c r="AF195" s="260">
        <f t="shared" si="24"/>
        <v>-1</v>
      </c>
      <c r="AG195" s="260">
        <f t="shared" si="25"/>
        <v>-1</v>
      </c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  <c r="IS195" s="13"/>
      <c r="IT195" s="13"/>
      <c r="IU195" s="13"/>
      <c r="IV195" s="13"/>
      <c r="IW195" s="13"/>
      <c r="IX195" s="13"/>
      <c r="IY195" s="13"/>
      <c r="IZ195" s="13"/>
      <c r="JA195" s="13"/>
      <c r="JB195" s="13"/>
      <c r="JC195" s="13"/>
      <c r="JD195" s="13"/>
      <c r="JE195" s="13"/>
      <c r="JF195" s="13"/>
      <c r="JG195" s="13"/>
      <c r="JH195" s="13"/>
      <c r="JI195" s="13"/>
      <c r="JJ195" s="13"/>
      <c r="JK195" s="13"/>
      <c r="JL195" s="13"/>
      <c r="JM195" s="13"/>
      <c r="JN195" s="13"/>
      <c r="JO195" s="13"/>
      <c r="JP195" s="13"/>
      <c r="JQ195" s="13"/>
      <c r="JR195" s="13"/>
      <c r="JS195" s="13"/>
      <c r="JT195" s="13"/>
      <c r="JU195" s="13"/>
      <c r="JV195" s="13"/>
      <c r="JW195" s="13"/>
      <c r="JX195" s="13"/>
      <c r="JY195" s="13"/>
      <c r="JZ195" s="13"/>
      <c r="KA195" s="13"/>
      <c r="KB195" s="13"/>
      <c r="KC195" s="13"/>
      <c r="KD195" s="13"/>
      <c r="KE195" s="13"/>
      <c r="KF195" s="13"/>
      <c r="KG195" s="13"/>
      <c r="KH195" s="13"/>
      <c r="KI195" s="13"/>
      <c r="KJ195" s="13"/>
      <c r="KK195" s="13"/>
      <c r="KL195" s="13"/>
      <c r="KM195" s="13"/>
      <c r="KN195" s="13"/>
      <c r="KO195" s="13"/>
      <c r="KP195" s="13"/>
      <c r="KQ195" s="13"/>
      <c r="KR195" s="13"/>
      <c r="KS195" s="13"/>
      <c r="KT195" s="13"/>
      <c r="KU195" s="13"/>
      <c r="KV195" s="13"/>
      <c r="KW195" s="13"/>
      <c r="KX195" s="13"/>
      <c r="KY195" s="13"/>
      <c r="KZ195" s="13"/>
      <c r="LA195" s="13"/>
      <c r="LB195" s="13"/>
      <c r="LC195" s="13"/>
      <c r="LD195" s="13"/>
      <c r="LE195" s="13"/>
      <c r="LF195" s="13"/>
      <c r="LG195" s="13"/>
      <c r="LH195" s="13"/>
      <c r="LI195" s="13"/>
      <c r="LJ195" s="13"/>
      <c r="LK195" s="13"/>
      <c r="LL195" s="13"/>
      <c r="LM195" s="13"/>
      <c r="LN195" s="13"/>
      <c r="LO195" s="13"/>
      <c r="LP195" s="13"/>
      <c r="LQ195" s="13"/>
      <c r="LR195" s="13"/>
      <c r="LS195" s="13"/>
      <c r="LT195" s="13"/>
      <c r="LU195" s="13"/>
      <c r="LV195" s="13"/>
      <c r="LW195" s="13"/>
      <c r="LX195" s="13"/>
      <c r="LY195" s="13"/>
      <c r="LZ195" s="13"/>
      <c r="MA195" s="13"/>
      <c r="MB195" s="13"/>
      <c r="MC195" s="13"/>
      <c r="MD195" s="13"/>
      <c r="ME195" s="13"/>
      <c r="MF195" s="13"/>
      <c r="MG195" s="13"/>
      <c r="MH195" s="13"/>
      <c r="MI195" s="13"/>
      <c r="MJ195" s="13"/>
      <c r="MK195" s="13"/>
      <c r="ML195" s="13"/>
      <c r="MM195" s="13"/>
      <c r="MN195" s="13"/>
      <c r="MO195" s="13"/>
      <c r="MP195" s="13"/>
      <c r="MQ195" s="13"/>
      <c r="MR195" s="13"/>
      <c r="MS195" s="13"/>
      <c r="MT195" s="13"/>
      <c r="MU195" s="13"/>
      <c r="MV195" s="13"/>
      <c r="MW195" s="13"/>
      <c r="MX195" s="13"/>
      <c r="MY195" s="13"/>
      <c r="MZ195" s="13"/>
      <c r="NA195" s="13"/>
      <c r="NB195" s="13"/>
      <c r="NC195" s="13"/>
      <c r="ND195" s="13"/>
      <c r="NE195" s="13"/>
      <c r="NF195" s="13"/>
      <c r="NG195" s="13"/>
      <c r="NH195" s="13"/>
      <c r="NI195" s="13"/>
      <c r="NJ195" s="13"/>
      <c r="NK195" s="13"/>
      <c r="NL195" s="13"/>
      <c r="NM195" s="13"/>
      <c r="NN195" s="13"/>
      <c r="NO195" s="13"/>
      <c r="NP195" s="13"/>
      <c r="NQ195" s="13"/>
      <c r="NR195" s="13"/>
      <c r="NS195" s="13"/>
      <c r="NT195" s="13"/>
      <c r="NU195" s="13"/>
      <c r="NV195" s="13"/>
      <c r="NW195" s="13"/>
      <c r="NX195" s="13"/>
      <c r="NY195" s="13"/>
      <c r="NZ195" s="13"/>
      <c r="OA195" s="13"/>
      <c r="OB195" s="13"/>
      <c r="OC195" s="13"/>
      <c r="OD195" s="13"/>
      <c r="OE195" s="13"/>
      <c r="OF195" s="13"/>
      <c r="OG195" s="13"/>
      <c r="OH195" s="13"/>
      <c r="OI195" s="13"/>
      <c r="OJ195" s="13"/>
      <c r="OK195" s="13"/>
      <c r="OL195" s="13"/>
      <c r="OM195" s="13"/>
      <c r="ON195" s="13"/>
      <c r="OO195" s="13"/>
      <c r="OP195" s="13"/>
      <c r="OQ195" s="13"/>
      <c r="OR195" s="13"/>
      <c r="OS195" s="13"/>
      <c r="OT195" s="13"/>
      <c r="OU195" s="13"/>
      <c r="OV195" s="13"/>
      <c r="OW195" s="13"/>
      <c r="OX195" s="13"/>
      <c r="OY195" s="13"/>
      <c r="OZ195" s="13"/>
      <c r="PA195" s="13"/>
      <c r="PB195" s="13"/>
      <c r="PC195" s="13"/>
      <c r="PD195" s="13"/>
      <c r="PE195" s="13"/>
      <c r="PF195" s="13"/>
      <c r="PG195" s="13"/>
      <c r="PH195" s="13"/>
      <c r="PI195" s="13"/>
      <c r="PJ195" s="13"/>
      <c r="PK195" s="13"/>
      <c r="PL195" s="13"/>
      <c r="PM195" s="13"/>
      <c r="PN195" s="13"/>
      <c r="PO195" s="13"/>
      <c r="PP195" s="13"/>
      <c r="PQ195" s="13"/>
      <c r="PR195" s="13"/>
      <c r="PS195" s="13"/>
      <c r="PT195" s="13"/>
      <c r="PU195" s="13"/>
      <c r="PV195" s="13"/>
      <c r="PW195" s="13"/>
      <c r="PX195" s="13"/>
      <c r="PY195" s="13"/>
      <c r="PZ195" s="13"/>
      <c r="QA195" s="13"/>
      <c r="QB195" s="13"/>
      <c r="QC195" s="13"/>
      <c r="QD195" s="13"/>
      <c r="QE195" s="13"/>
      <c r="QF195" s="13"/>
      <c r="QG195" s="13"/>
      <c r="QH195" s="13"/>
      <c r="QI195" s="13"/>
      <c r="QJ195" s="13"/>
      <c r="QK195" s="13"/>
      <c r="QL195" s="13"/>
      <c r="QM195" s="13"/>
      <c r="QN195" s="13"/>
      <c r="QO195" s="13"/>
      <c r="QP195" s="13"/>
      <c r="QQ195" s="13"/>
      <c r="QR195" s="13"/>
      <c r="QS195" s="13"/>
      <c r="QT195" s="13"/>
      <c r="QU195" s="13"/>
      <c r="QV195" s="13"/>
      <c r="QW195" s="13"/>
      <c r="QX195" s="13"/>
      <c r="QY195" s="13"/>
      <c r="QZ195" s="13"/>
      <c r="RA195" s="13"/>
      <c r="RB195" s="13"/>
      <c r="RC195" s="13"/>
      <c r="RD195" s="13"/>
      <c r="RE195" s="13"/>
      <c r="RF195" s="13"/>
      <c r="RG195" s="13"/>
      <c r="RH195" s="13"/>
      <c r="RI195" s="13"/>
      <c r="RJ195" s="13"/>
      <c r="RK195" s="13"/>
      <c r="RL195" s="13"/>
      <c r="RM195" s="13"/>
      <c r="RN195" s="13"/>
      <c r="RO195" s="13"/>
      <c r="RP195" s="13"/>
      <c r="RQ195" s="13"/>
      <c r="RR195" s="13"/>
      <c r="RS195" s="13"/>
      <c r="RT195" s="13"/>
      <c r="RU195" s="13"/>
      <c r="RV195" s="13"/>
      <c r="RW195" s="13"/>
      <c r="RX195" s="13"/>
      <c r="RY195" s="13"/>
      <c r="RZ195" s="13"/>
      <c r="SA195" s="13"/>
      <c r="SB195" s="13"/>
      <c r="SC195" s="13"/>
      <c r="SD195" s="13"/>
      <c r="SE195" s="13"/>
      <c r="SF195" s="13"/>
      <c r="SG195" s="13"/>
      <c r="SH195" s="13"/>
      <c r="SI195" s="13"/>
      <c r="SJ195" s="13"/>
      <c r="SK195" s="13"/>
      <c r="SL195" s="13"/>
      <c r="SM195" s="13"/>
      <c r="SN195" s="13"/>
      <c r="SO195" s="13"/>
      <c r="SP195" s="13"/>
      <c r="SQ195" s="13"/>
      <c r="SR195" s="13"/>
      <c r="SS195" s="13"/>
      <c r="ST195" s="13"/>
      <c r="SU195" s="13"/>
      <c r="SV195" s="13"/>
      <c r="SW195" s="13"/>
      <c r="SX195" s="13"/>
      <c r="SY195" s="13"/>
      <c r="SZ195" s="13"/>
      <c r="TA195" s="13"/>
      <c r="TB195" s="13"/>
      <c r="TC195" s="13"/>
      <c r="TD195" s="13"/>
      <c r="TE195" s="13"/>
      <c r="TF195" s="13"/>
      <c r="TG195" s="13"/>
      <c r="TH195" s="13"/>
      <c r="TI195" s="13"/>
      <c r="TJ195" s="13"/>
      <c r="TK195" s="13"/>
      <c r="TL195" s="13"/>
      <c r="TM195" s="13"/>
      <c r="TN195" s="13"/>
      <c r="TO195" s="13"/>
      <c r="TP195" s="13"/>
      <c r="TQ195" s="13"/>
      <c r="TR195" s="13"/>
      <c r="TS195" s="13"/>
      <c r="TT195" s="13"/>
      <c r="TU195" s="13"/>
      <c r="TV195" s="13"/>
      <c r="TW195" s="13"/>
      <c r="TX195" s="13"/>
      <c r="TY195" s="13"/>
      <c r="TZ195" s="13"/>
      <c r="UA195" s="13"/>
      <c r="UB195" s="13"/>
      <c r="UC195" s="13"/>
      <c r="UD195" s="13"/>
      <c r="UE195" s="13"/>
      <c r="UF195" s="13"/>
      <c r="UG195" s="13"/>
      <c r="UH195" s="13"/>
      <c r="UI195" s="13"/>
      <c r="UJ195" s="13"/>
      <c r="UK195" s="13"/>
      <c r="UL195" s="13"/>
      <c r="UM195" s="13"/>
      <c r="UN195" s="13"/>
      <c r="UO195" s="13"/>
      <c r="UP195" s="13"/>
      <c r="UQ195" s="13"/>
      <c r="UR195" s="13"/>
      <c r="US195" s="13"/>
      <c r="UT195" s="13"/>
      <c r="UU195" s="13"/>
      <c r="UV195" s="13"/>
      <c r="UW195" s="13"/>
      <c r="UX195" s="13"/>
      <c r="UY195" s="13"/>
      <c r="UZ195" s="13"/>
      <c r="VA195" s="13"/>
      <c r="VB195" s="13"/>
      <c r="VC195" s="13"/>
      <c r="VD195" s="13"/>
      <c r="VE195" s="13"/>
      <c r="VF195" s="13"/>
      <c r="VG195" s="13"/>
      <c r="VH195" s="13"/>
      <c r="VI195" s="13"/>
      <c r="VJ195" s="13"/>
      <c r="VK195" s="13"/>
      <c r="VL195" s="13"/>
      <c r="VM195" s="13"/>
      <c r="VN195" s="13"/>
      <c r="VO195" s="13"/>
      <c r="VP195" s="13"/>
      <c r="VQ195" s="13"/>
      <c r="VR195" s="13"/>
      <c r="VS195" s="13"/>
      <c r="VT195" s="13"/>
    </row>
    <row r="196" spans="1:592" s="20" customFormat="1" ht="21" x14ac:dyDescent="0.2">
      <c r="A196" s="10" t="s">
        <v>210</v>
      </c>
      <c r="B196" s="11">
        <v>27004295</v>
      </c>
      <c r="C196" s="11" t="s">
        <v>374</v>
      </c>
      <c r="D196" s="11">
        <v>3912232</v>
      </c>
      <c r="E196" s="228" t="s">
        <v>314</v>
      </c>
      <c r="F196" s="192" t="s">
        <v>300</v>
      </c>
      <c r="G196" s="201">
        <f>IFERROR(VLOOKUP(D196,List1!$A$5:$B$227,2,FALSE),"0")</f>
        <v>471000</v>
      </c>
      <c r="H196" s="41" t="str">
        <f>IFERROR(VLOOKUP(D196,List1!$D$5:$E$41,2,FALSE),"0")</f>
        <v>0</v>
      </c>
      <c r="I196" s="41" t="str">
        <f>IFERROR(VLOOKUP(D196,List1!$G$5:$H$227,2,FALSE),"0")</f>
        <v>0</v>
      </c>
      <c r="J196" s="40">
        <f t="shared" si="18"/>
        <v>471000</v>
      </c>
      <c r="K196" s="41">
        <f>IFERROR(VLOOKUP(D196,List1!$J$5:$K$227,2,FALSE),"0")</f>
        <v>21000</v>
      </c>
      <c r="L196" s="41" t="str">
        <f>IFERROR(VLOOKUP(D196,List1!$M$5:$N$112,2,FALSE),"0")</f>
        <v>0</v>
      </c>
      <c r="M196" s="43">
        <v>0</v>
      </c>
      <c r="N196" s="80">
        <f>VLOOKUP($D$5:$D$251,List2!$A$2:$B$241,2,FALSE)</f>
        <v>62118</v>
      </c>
      <c r="O196" s="80">
        <f>IFERROR(VLOOKUP($D$5:$D$260,List1!$Y$5:$Z$244,2,FALSE),0)</f>
        <v>0</v>
      </c>
      <c r="P196" s="202">
        <f>IFERROR(VLOOKUP($D$5:$D$260,List1!$AB$5:$AC$244,2,FALSE),0)</f>
        <v>0</v>
      </c>
      <c r="Q196" s="201">
        <f>IFERROR(VLOOKUP($D$5:$D$260,List1!$S$5:$T$231,2,FALSE),0)</f>
        <v>470063</v>
      </c>
      <c r="R196" s="41">
        <v>0</v>
      </c>
      <c r="S196" s="41">
        <f>IFERROR(VLOOKUP($D$5:$D$260,List1!$AE$5:$AF$231,2,FALSE),0)</f>
        <v>100000</v>
      </c>
      <c r="T196" s="41">
        <f t="shared" si="19"/>
        <v>570063</v>
      </c>
      <c r="U196" s="41">
        <f>IFERROR(VLOOKUP(D196,List1!$P$5:$Q$110,2,FALSE),"0")</f>
        <v>57000</v>
      </c>
      <c r="V196" s="41">
        <v>0</v>
      </c>
      <c r="W196" s="248">
        <v>0</v>
      </c>
      <c r="X196" s="211">
        <f t="shared" si="20"/>
        <v>627063</v>
      </c>
      <c r="Y196" s="219"/>
      <c r="Z196" s="80">
        <f>IFERROR(VLOOKUP($D$5:$D$260,#REF!,3,FALSE),0)</f>
        <v>0</v>
      </c>
      <c r="AA196" s="80">
        <f>IFERROR(VLOOKUP($D$5:$D$260,#REF!,3,FALSE),0)</f>
        <v>0</v>
      </c>
      <c r="AB196" s="243">
        <v>0</v>
      </c>
      <c r="AC196" s="202">
        <f t="shared" si="21"/>
        <v>0</v>
      </c>
      <c r="AD196" s="259">
        <f t="shared" si="22"/>
        <v>-57000</v>
      </c>
      <c r="AE196" s="260">
        <f t="shared" si="23"/>
        <v>-1</v>
      </c>
      <c r="AF196" s="260">
        <f t="shared" si="24"/>
        <v>-1</v>
      </c>
      <c r="AG196" s="260">
        <f t="shared" si="25"/>
        <v>-1</v>
      </c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  <c r="IM196" s="13"/>
      <c r="IN196" s="13"/>
      <c r="IO196" s="13"/>
      <c r="IP196" s="13"/>
      <c r="IQ196" s="13"/>
      <c r="IR196" s="13"/>
      <c r="IS196" s="13"/>
      <c r="IT196" s="13"/>
      <c r="IU196" s="13"/>
      <c r="IV196" s="13"/>
      <c r="IW196" s="13"/>
      <c r="IX196" s="13"/>
      <c r="IY196" s="13"/>
      <c r="IZ196" s="13"/>
      <c r="JA196" s="13"/>
      <c r="JB196" s="13"/>
      <c r="JC196" s="13"/>
      <c r="JD196" s="13"/>
      <c r="JE196" s="13"/>
      <c r="JF196" s="13"/>
      <c r="JG196" s="13"/>
      <c r="JH196" s="13"/>
      <c r="JI196" s="13"/>
      <c r="JJ196" s="13"/>
      <c r="JK196" s="13"/>
      <c r="JL196" s="13"/>
      <c r="JM196" s="13"/>
      <c r="JN196" s="13"/>
      <c r="JO196" s="13"/>
      <c r="JP196" s="13"/>
      <c r="JQ196" s="13"/>
      <c r="JR196" s="13"/>
      <c r="JS196" s="13"/>
      <c r="JT196" s="13"/>
      <c r="JU196" s="13"/>
      <c r="JV196" s="13"/>
      <c r="JW196" s="13"/>
      <c r="JX196" s="13"/>
      <c r="JY196" s="13"/>
      <c r="JZ196" s="13"/>
      <c r="KA196" s="13"/>
      <c r="KB196" s="13"/>
      <c r="KC196" s="13"/>
      <c r="KD196" s="13"/>
      <c r="KE196" s="13"/>
      <c r="KF196" s="13"/>
      <c r="KG196" s="13"/>
      <c r="KH196" s="13"/>
      <c r="KI196" s="13"/>
      <c r="KJ196" s="13"/>
      <c r="KK196" s="13"/>
      <c r="KL196" s="13"/>
      <c r="KM196" s="13"/>
      <c r="KN196" s="13"/>
      <c r="KO196" s="13"/>
      <c r="KP196" s="13"/>
      <c r="KQ196" s="13"/>
      <c r="KR196" s="13"/>
      <c r="KS196" s="13"/>
      <c r="KT196" s="13"/>
      <c r="KU196" s="13"/>
      <c r="KV196" s="13"/>
      <c r="KW196" s="13"/>
      <c r="KX196" s="13"/>
      <c r="KY196" s="13"/>
      <c r="KZ196" s="13"/>
      <c r="LA196" s="13"/>
      <c r="LB196" s="13"/>
      <c r="LC196" s="13"/>
      <c r="LD196" s="13"/>
      <c r="LE196" s="13"/>
      <c r="LF196" s="13"/>
      <c r="LG196" s="13"/>
      <c r="LH196" s="13"/>
      <c r="LI196" s="13"/>
      <c r="LJ196" s="13"/>
      <c r="LK196" s="13"/>
      <c r="LL196" s="13"/>
      <c r="LM196" s="13"/>
      <c r="LN196" s="13"/>
      <c r="LO196" s="13"/>
      <c r="LP196" s="13"/>
      <c r="LQ196" s="13"/>
      <c r="LR196" s="13"/>
      <c r="LS196" s="13"/>
      <c r="LT196" s="13"/>
      <c r="LU196" s="13"/>
      <c r="LV196" s="13"/>
      <c r="LW196" s="13"/>
      <c r="LX196" s="13"/>
      <c r="LY196" s="13"/>
      <c r="LZ196" s="13"/>
      <c r="MA196" s="13"/>
      <c r="MB196" s="13"/>
      <c r="MC196" s="13"/>
      <c r="MD196" s="13"/>
      <c r="ME196" s="13"/>
      <c r="MF196" s="13"/>
      <c r="MG196" s="13"/>
      <c r="MH196" s="13"/>
      <c r="MI196" s="13"/>
      <c r="MJ196" s="13"/>
      <c r="MK196" s="13"/>
      <c r="ML196" s="13"/>
      <c r="MM196" s="13"/>
      <c r="MN196" s="13"/>
      <c r="MO196" s="13"/>
      <c r="MP196" s="13"/>
      <c r="MQ196" s="13"/>
      <c r="MR196" s="13"/>
      <c r="MS196" s="13"/>
      <c r="MT196" s="13"/>
      <c r="MU196" s="13"/>
      <c r="MV196" s="13"/>
      <c r="MW196" s="13"/>
      <c r="MX196" s="13"/>
      <c r="MY196" s="13"/>
      <c r="MZ196" s="13"/>
      <c r="NA196" s="13"/>
      <c r="NB196" s="13"/>
      <c r="NC196" s="13"/>
      <c r="ND196" s="13"/>
      <c r="NE196" s="13"/>
      <c r="NF196" s="13"/>
      <c r="NG196" s="13"/>
      <c r="NH196" s="13"/>
      <c r="NI196" s="13"/>
      <c r="NJ196" s="13"/>
      <c r="NK196" s="13"/>
      <c r="NL196" s="13"/>
      <c r="NM196" s="13"/>
      <c r="NN196" s="13"/>
      <c r="NO196" s="13"/>
      <c r="NP196" s="13"/>
      <c r="NQ196" s="13"/>
      <c r="NR196" s="13"/>
      <c r="NS196" s="13"/>
      <c r="NT196" s="13"/>
      <c r="NU196" s="13"/>
      <c r="NV196" s="13"/>
      <c r="NW196" s="13"/>
      <c r="NX196" s="13"/>
      <c r="NY196" s="13"/>
      <c r="NZ196" s="13"/>
      <c r="OA196" s="13"/>
      <c r="OB196" s="13"/>
      <c r="OC196" s="13"/>
      <c r="OD196" s="13"/>
      <c r="OE196" s="13"/>
      <c r="OF196" s="13"/>
      <c r="OG196" s="13"/>
      <c r="OH196" s="13"/>
      <c r="OI196" s="13"/>
      <c r="OJ196" s="13"/>
      <c r="OK196" s="13"/>
      <c r="OL196" s="13"/>
      <c r="OM196" s="13"/>
      <c r="ON196" s="13"/>
      <c r="OO196" s="13"/>
      <c r="OP196" s="13"/>
      <c r="OQ196" s="13"/>
      <c r="OR196" s="13"/>
      <c r="OS196" s="13"/>
      <c r="OT196" s="13"/>
      <c r="OU196" s="13"/>
      <c r="OV196" s="13"/>
      <c r="OW196" s="13"/>
      <c r="OX196" s="13"/>
      <c r="OY196" s="13"/>
      <c r="OZ196" s="13"/>
      <c r="PA196" s="13"/>
      <c r="PB196" s="13"/>
      <c r="PC196" s="13"/>
      <c r="PD196" s="13"/>
      <c r="PE196" s="13"/>
      <c r="PF196" s="13"/>
      <c r="PG196" s="13"/>
      <c r="PH196" s="13"/>
      <c r="PI196" s="13"/>
      <c r="PJ196" s="13"/>
      <c r="PK196" s="13"/>
      <c r="PL196" s="13"/>
      <c r="PM196" s="13"/>
      <c r="PN196" s="13"/>
      <c r="PO196" s="13"/>
      <c r="PP196" s="13"/>
      <c r="PQ196" s="13"/>
      <c r="PR196" s="13"/>
      <c r="PS196" s="13"/>
      <c r="PT196" s="13"/>
      <c r="PU196" s="13"/>
      <c r="PV196" s="13"/>
      <c r="PW196" s="13"/>
      <c r="PX196" s="13"/>
      <c r="PY196" s="13"/>
      <c r="PZ196" s="13"/>
      <c r="QA196" s="13"/>
      <c r="QB196" s="13"/>
      <c r="QC196" s="13"/>
      <c r="QD196" s="13"/>
      <c r="QE196" s="13"/>
      <c r="QF196" s="13"/>
      <c r="QG196" s="13"/>
      <c r="QH196" s="13"/>
      <c r="QI196" s="13"/>
      <c r="QJ196" s="13"/>
      <c r="QK196" s="13"/>
      <c r="QL196" s="13"/>
      <c r="QM196" s="13"/>
      <c r="QN196" s="13"/>
      <c r="QO196" s="13"/>
      <c r="QP196" s="13"/>
      <c r="QQ196" s="13"/>
      <c r="QR196" s="13"/>
      <c r="QS196" s="13"/>
      <c r="QT196" s="13"/>
      <c r="QU196" s="13"/>
      <c r="QV196" s="13"/>
      <c r="QW196" s="13"/>
      <c r="QX196" s="13"/>
      <c r="QY196" s="13"/>
      <c r="QZ196" s="13"/>
      <c r="RA196" s="13"/>
      <c r="RB196" s="13"/>
      <c r="RC196" s="13"/>
      <c r="RD196" s="13"/>
      <c r="RE196" s="13"/>
      <c r="RF196" s="13"/>
      <c r="RG196" s="13"/>
      <c r="RH196" s="13"/>
      <c r="RI196" s="13"/>
      <c r="RJ196" s="13"/>
      <c r="RK196" s="13"/>
      <c r="RL196" s="13"/>
      <c r="RM196" s="13"/>
      <c r="RN196" s="13"/>
      <c r="RO196" s="13"/>
      <c r="RP196" s="13"/>
      <c r="RQ196" s="13"/>
      <c r="RR196" s="13"/>
      <c r="RS196" s="13"/>
      <c r="RT196" s="13"/>
      <c r="RU196" s="13"/>
      <c r="RV196" s="13"/>
      <c r="RW196" s="13"/>
      <c r="RX196" s="13"/>
      <c r="RY196" s="13"/>
      <c r="RZ196" s="13"/>
      <c r="SA196" s="13"/>
      <c r="SB196" s="13"/>
      <c r="SC196" s="13"/>
      <c r="SD196" s="13"/>
      <c r="SE196" s="13"/>
      <c r="SF196" s="13"/>
      <c r="SG196" s="13"/>
      <c r="SH196" s="13"/>
      <c r="SI196" s="13"/>
      <c r="SJ196" s="13"/>
      <c r="SK196" s="13"/>
      <c r="SL196" s="13"/>
      <c r="SM196" s="13"/>
      <c r="SN196" s="13"/>
      <c r="SO196" s="13"/>
      <c r="SP196" s="13"/>
      <c r="SQ196" s="13"/>
      <c r="SR196" s="13"/>
      <c r="SS196" s="13"/>
      <c r="ST196" s="13"/>
      <c r="SU196" s="13"/>
      <c r="SV196" s="13"/>
      <c r="SW196" s="13"/>
      <c r="SX196" s="13"/>
      <c r="SY196" s="13"/>
      <c r="SZ196" s="13"/>
      <c r="TA196" s="13"/>
      <c r="TB196" s="13"/>
      <c r="TC196" s="13"/>
      <c r="TD196" s="13"/>
      <c r="TE196" s="13"/>
      <c r="TF196" s="13"/>
      <c r="TG196" s="13"/>
      <c r="TH196" s="13"/>
      <c r="TI196" s="13"/>
      <c r="TJ196" s="13"/>
      <c r="TK196" s="13"/>
      <c r="TL196" s="13"/>
      <c r="TM196" s="13"/>
      <c r="TN196" s="13"/>
      <c r="TO196" s="13"/>
      <c r="TP196" s="13"/>
      <c r="TQ196" s="13"/>
      <c r="TR196" s="13"/>
      <c r="TS196" s="13"/>
      <c r="TT196" s="13"/>
      <c r="TU196" s="13"/>
      <c r="TV196" s="13"/>
      <c r="TW196" s="13"/>
      <c r="TX196" s="13"/>
      <c r="TY196" s="13"/>
      <c r="TZ196" s="13"/>
      <c r="UA196" s="13"/>
      <c r="UB196" s="13"/>
      <c r="UC196" s="13"/>
      <c r="UD196" s="13"/>
      <c r="UE196" s="13"/>
      <c r="UF196" s="13"/>
      <c r="UG196" s="13"/>
      <c r="UH196" s="13"/>
      <c r="UI196" s="13"/>
      <c r="UJ196" s="13"/>
      <c r="UK196" s="13"/>
      <c r="UL196" s="13"/>
      <c r="UM196" s="13"/>
      <c r="UN196" s="13"/>
      <c r="UO196" s="13"/>
      <c r="UP196" s="13"/>
      <c r="UQ196" s="13"/>
      <c r="UR196" s="13"/>
      <c r="US196" s="13"/>
      <c r="UT196" s="13"/>
      <c r="UU196" s="13"/>
      <c r="UV196" s="13"/>
      <c r="UW196" s="13"/>
      <c r="UX196" s="13"/>
      <c r="UY196" s="13"/>
      <c r="UZ196" s="13"/>
      <c r="VA196" s="13"/>
      <c r="VB196" s="13"/>
      <c r="VC196" s="13"/>
      <c r="VD196" s="13"/>
      <c r="VE196" s="13"/>
      <c r="VF196" s="13"/>
      <c r="VG196" s="13"/>
      <c r="VH196" s="13"/>
      <c r="VI196" s="13"/>
      <c r="VJ196" s="13"/>
      <c r="VK196" s="13"/>
      <c r="VL196" s="13"/>
      <c r="VM196" s="13"/>
      <c r="VN196" s="13"/>
      <c r="VO196" s="13"/>
      <c r="VP196" s="13"/>
      <c r="VQ196" s="13"/>
      <c r="VR196" s="13"/>
      <c r="VS196" s="13"/>
      <c r="VT196" s="13"/>
    </row>
    <row r="197" spans="1:592" s="20" customFormat="1" ht="21" customHeight="1" x14ac:dyDescent="0.2">
      <c r="A197" s="10" t="s">
        <v>56</v>
      </c>
      <c r="B197" s="11">
        <v>22829903</v>
      </c>
      <c r="C197" s="11" t="s">
        <v>267</v>
      </c>
      <c r="D197" s="11">
        <v>8419868</v>
      </c>
      <c r="E197" s="225" t="s">
        <v>321</v>
      </c>
      <c r="F197" s="192" t="s">
        <v>294</v>
      </c>
      <c r="G197" s="201">
        <f>IFERROR(VLOOKUP(D197,List1!$A$5:$B$227,2,FALSE),"0")</f>
        <v>6698000</v>
      </c>
      <c r="H197" s="41">
        <f>IFERROR(VLOOKUP(D197,List1!$D$5:$E$41,2,FALSE),"0")</f>
        <v>970842</v>
      </c>
      <c r="I197" s="41" t="str">
        <f>IFERROR(VLOOKUP(D197,List1!$G$5:$H$227,2,FALSE),"0")</f>
        <v>0</v>
      </c>
      <c r="J197" s="40">
        <f t="shared" si="18"/>
        <v>7668842</v>
      </c>
      <c r="K197" s="41" t="str">
        <f>IFERROR(VLOOKUP(D197,List1!$J$5:$K$227,2,FALSE),"0")</f>
        <v>0</v>
      </c>
      <c r="L197" s="41" t="str">
        <f>IFERROR(VLOOKUP(D197,List1!$M$5:$N$112,2,FALSE),"0")</f>
        <v>0</v>
      </c>
      <c r="M197" s="43">
        <v>0</v>
      </c>
      <c r="N197" s="80">
        <f>VLOOKUP($D$5:$D$251,List2!$A$2:$B$241,2,FALSE)</f>
        <v>472712</v>
      </c>
      <c r="O197" s="80">
        <f>IFERROR(VLOOKUP($D$5:$D$260,List1!$Y$5:$Z$244,2,FALSE),0)</f>
        <v>0</v>
      </c>
      <c r="P197" s="202">
        <f>IFERROR(VLOOKUP($D$5:$D$260,List1!$AB$5:$AC$244,2,FALSE),0)</f>
        <v>0</v>
      </c>
      <c r="Q197" s="201">
        <f>IFERROR(VLOOKUP($D$5:$D$260,List1!$S$5:$T$231,2,FALSE),0)</f>
        <v>6724506</v>
      </c>
      <c r="R197" s="41">
        <v>0</v>
      </c>
      <c r="S197" s="41">
        <f>IFERROR(VLOOKUP($D$5:$D$260,List1!$AE$5:$AF$231,2,FALSE),0)</f>
        <v>1350000</v>
      </c>
      <c r="T197" s="41">
        <f t="shared" si="19"/>
        <v>8074506</v>
      </c>
      <c r="U197" s="41">
        <f>IFERROR(VLOOKUP(D197,List1!$P$5:$Q$110,2,FALSE),"0")</f>
        <v>490000</v>
      </c>
      <c r="V197" s="41">
        <v>0</v>
      </c>
      <c r="W197" s="248">
        <v>0</v>
      </c>
      <c r="X197" s="211">
        <f t="shared" si="20"/>
        <v>8564506</v>
      </c>
      <c r="Y197" s="219"/>
      <c r="Z197" s="80">
        <f>IFERROR(VLOOKUP($D$5:$D$260,#REF!,3,FALSE),0)</f>
        <v>0</v>
      </c>
      <c r="AA197" s="80">
        <f>IFERROR(VLOOKUP($D$5:$D$260,#REF!,3,FALSE),0)</f>
        <v>0</v>
      </c>
      <c r="AB197" s="243">
        <v>0</v>
      </c>
      <c r="AC197" s="202">
        <f t="shared" si="21"/>
        <v>0</v>
      </c>
      <c r="AD197" s="259">
        <f t="shared" si="22"/>
        <v>-490000</v>
      </c>
      <c r="AE197" s="260">
        <f t="shared" si="23"/>
        <v>-1</v>
      </c>
      <c r="AF197" s="260">
        <f t="shared" si="24"/>
        <v>-1</v>
      </c>
      <c r="AG197" s="260">
        <f t="shared" si="25"/>
        <v>-1</v>
      </c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  <c r="IM197" s="13"/>
      <c r="IN197" s="13"/>
      <c r="IO197" s="13"/>
      <c r="IP197" s="13"/>
      <c r="IQ197" s="13"/>
      <c r="IR197" s="13"/>
      <c r="IS197" s="13"/>
      <c r="IT197" s="13"/>
      <c r="IU197" s="13"/>
      <c r="IV197" s="13"/>
      <c r="IW197" s="13"/>
      <c r="IX197" s="13"/>
      <c r="IY197" s="13"/>
      <c r="IZ197" s="13"/>
      <c r="JA197" s="13"/>
      <c r="JB197" s="13"/>
      <c r="JC197" s="13"/>
      <c r="JD197" s="13"/>
      <c r="JE197" s="13"/>
      <c r="JF197" s="13"/>
      <c r="JG197" s="13"/>
      <c r="JH197" s="13"/>
      <c r="JI197" s="13"/>
      <c r="JJ197" s="13"/>
      <c r="JK197" s="13"/>
      <c r="JL197" s="13"/>
      <c r="JM197" s="13"/>
      <c r="JN197" s="13"/>
      <c r="JO197" s="13"/>
      <c r="JP197" s="13"/>
      <c r="JQ197" s="13"/>
      <c r="JR197" s="13"/>
      <c r="JS197" s="13"/>
      <c r="JT197" s="13"/>
      <c r="JU197" s="13"/>
      <c r="JV197" s="13"/>
      <c r="JW197" s="13"/>
      <c r="JX197" s="13"/>
      <c r="JY197" s="13"/>
      <c r="JZ197" s="13"/>
      <c r="KA197" s="13"/>
      <c r="KB197" s="13"/>
      <c r="KC197" s="13"/>
      <c r="KD197" s="13"/>
      <c r="KE197" s="13"/>
      <c r="KF197" s="13"/>
      <c r="KG197" s="13"/>
      <c r="KH197" s="13"/>
      <c r="KI197" s="13"/>
      <c r="KJ197" s="13"/>
      <c r="KK197" s="13"/>
      <c r="KL197" s="13"/>
      <c r="KM197" s="13"/>
      <c r="KN197" s="13"/>
      <c r="KO197" s="13"/>
      <c r="KP197" s="13"/>
      <c r="KQ197" s="13"/>
      <c r="KR197" s="13"/>
      <c r="KS197" s="13"/>
      <c r="KT197" s="13"/>
      <c r="KU197" s="13"/>
      <c r="KV197" s="13"/>
      <c r="KW197" s="13"/>
      <c r="KX197" s="13"/>
      <c r="KY197" s="13"/>
      <c r="KZ197" s="13"/>
      <c r="LA197" s="13"/>
      <c r="LB197" s="13"/>
      <c r="LC197" s="13"/>
      <c r="LD197" s="13"/>
      <c r="LE197" s="13"/>
      <c r="LF197" s="13"/>
      <c r="LG197" s="13"/>
      <c r="LH197" s="13"/>
      <c r="LI197" s="13"/>
      <c r="LJ197" s="13"/>
      <c r="LK197" s="13"/>
      <c r="LL197" s="13"/>
      <c r="LM197" s="13"/>
      <c r="LN197" s="13"/>
      <c r="LO197" s="13"/>
      <c r="LP197" s="13"/>
      <c r="LQ197" s="13"/>
      <c r="LR197" s="13"/>
      <c r="LS197" s="13"/>
      <c r="LT197" s="13"/>
      <c r="LU197" s="13"/>
      <c r="LV197" s="13"/>
      <c r="LW197" s="13"/>
      <c r="LX197" s="13"/>
      <c r="LY197" s="13"/>
      <c r="LZ197" s="13"/>
      <c r="MA197" s="13"/>
      <c r="MB197" s="13"/>
      <c r="MC197" s="13"/>
      <c r="MD197" s="13"/>
      <c r="ME197" s="13"/>
      <c r="MF197" s="13"/>
      <c r="MG197" s="13"/>
      <c r="MH197" s="13"/>
      <c r="MI197" s="13"/>
      <c r="MJ197" s="13"/>
      <c r="MK197" s="13"/>
      <c r="ML197" s="13"/>
      <c r="MM197" s="13"/>
      <c r="MN197" s="13"/>
      <c r="MO197" s="13"/>
      <c r="MP197" s="13"/>
      <c r="MQ197" s="13"/>
      <c r="MR197" s="13"/>
      <c r="MS197" s="13"/>
      <c r="MT197" s="13"/>
      <c r="MU197" s="13"/>
      <c r="MV197" s="13"/>
      <c r="MW197" s="13"/>
      <c r="MX197" s="13"/>
      <c r="MY197" s="13"/>
      <c r="MZ197" s="13"/>
      <c r="NA197" s="13"/>
      <c r="NB197" s="13"/>
      <c r="NC197" s="13"/>
      <c r="ND197" s="13"/>
      <c r="NE197" s="13"/>
      <c r="NF197" s="13"/>
      <c r="NG197" s="13"/>
      <c r="NH197" s="13"/>
      <c r="NI197" s="13"/>
      <c r="NJ197" s="13"/>
      <c r="NK197" s="13"/>
      <c r="NL197" s="13"/>
      <c r="NM197" s="13"/>
      <c r="NN197" s="13"/>
      <c r="NO197" s="13"/>
      <c r="NP197" s="13"/>
      <c r="NQ197" s="13"/>
      <c r="NR197" s="13"/>
      <c r="NS197" s="13"/>
      <c r="NT197" s="13"/>
      <c r="NU197" s="13"/>
      <c r="NV197" s="13"/>
      <c r="NW197" s="13"/>
      <c r="NX197" s="13"/>
      <c r="NY197" s="13"/>
      <c r="NZ197" s="13"/>
      <c r="OA197" s="13"/>
      <c r="OB197" s="13"/>
      <c r="OC197" s="13"/>
      <c r="OD197" s="13"/>
      <c r="OE197" s="13"/>
      <c r="OF197" s="13"/>
      <c r="OG197" s="13"/>
      <c r="OH197" s="13"/>
      <c r="OI197" s="13"/>
      <c r="OJ197" s="13"/>
      <c r="OK197" s="13"/>
      <c r="OL197" s="13"/>
      <c r="OM197" s="13"/>
      <c r="ON197" s="13"/>
      <c r="OO197" s="13"/>
      <c r="OP197" s="13"/>
      <c r="OQ197" s="13"/>
      <c r="OR197" s="13"/>
      <c r="OS197" s="13"/>
      <c r="OT197" s="13"/>
      <c r="OU197" s="13"/>
      <c r="OV197" s="13"/>
      <c r="OW197" s="13"/>
      <c r="OX197" s="13"/>
      <c r="OY197" s="13"/>
      <c r="OZ197" s="13"/>
      <c r="PA197" s="13"/>
      <c r="PB197" s="13"/>
      <c r="PC197" s="13"/>
      <c r="PD197" s="13"/>
      <c r="PE197" s="13"/>
      <c r="PF197" s="13"/>
      <c r="PG197" s="13"/>
      <c r="PH197" s="13"/>
      <c r="PI197" s="13"/>
      <c r="PJ197" s="13"/>
      <c r="PK197" s="13"/>
      <c r="PL197" s="13"/>
      <c r="PM197" s="13"/>
      <c r="PN197" s="13"/>
      <c r="PO197" s="13"/>
      <c r="PP197" s="13"/>
      <c r="PQ197" s="13"/>
      <c r="PR197" s="13"/>
      <c r="PS197" s="13"/>
      <c r="PT197" s="13"/>
      <c r="PU197" s="13"/>
      <c r="PV197" s="13"/>
      <c r="PW197" s="13"/>
      <c r="PX197" s="13"/>
      <c r="PY197" s="13"/>
      <c r="PZ197" s="13"/>
      <c r="QA197" s="13"/>
      <c r="QB197" s="13"/>
      <c r="QC197" s="13"/>
      <c r="QD197" s="13"/>
      <c r="QE197" s="13"/>
      <c r="QF197" s="13"/>
      <c r="QG197" s="13"/>
      <c r="QH197" s="13"/>
      <c r="QI197" s="13"/>
      <c r="QJ197" s="13"/>
      <c r="QK197" s="13"/>
      <c r="QL197" s="13"/>
      <c r="QM197" s="13"/>
      <c r="QN197" s="13"/>
      <c r="QO197" s="13"/>
      <c r="QP197" s="13"/>
      <c r="QQ197" s="13"/>
      <c r="QR197" s="13"/>
      <c r="QS197" s="13"/>
      <c r="QT197" s="13"/>
      <c r="QU197" s="13"/>
      <c r="QV197" s="13"/>
      <c r="QW197" s="13"/>
      <c r="QX197" s="13"/>
      <c r="QY197" s="13"/>
      <c r="QZ197" s="13"/>
      <c r="RA197" s="13"/>
      <c r="RB197" s="13"/>
      <c r="RC197" s="13"/>
      <c r="RD197" s="13"/>
      <c r="RE197" s="13"/>
      <c r="RF197" s="13"/>
      <c r="RG197" s="13"/>
      <c r="RH197" s="13"/>
      <c r="RI197" s="13"/>
      <c r="RJ197" s="13"/>
      <c r="RK197" s="13"/>
      <c r="RL197" s="13"/>
      <c r="RM197" s="13"/>
      <c r="RN197" s="13"/>
      <c r="RO197" s="13"/>
      <c r="RP197" s="13"/>
      <c r="RQ197" s="13"/>
      <c r="RR197" s="13"/>
      <c r="RS197" s="13"/>
      <c r="RT197" s="13"/>
      <c r="RU197" s="13"/>
      <c r="RV197" s="13"/>
      <c r="RW197" s="13"/>
      <c r="RX197" s="13"/>
      <c r="RY197" s="13"/>
      <c r="RZ197" s="13"/>
      <c r="SA197" s="13"/>
      <c r="SB197" s="13"/>
      <c r="SC197" s="13"/>
      <c r="SD197" s="13"/>
      <c r="SE197" s="13"/>
      <c r="SF197" s="13"/>
      <c r="SG197" s="13"/>
      <c r="SH197" s="13"/>
      <c r="SI197" s="13"/>
      <c r="SJ197" s="13"/>
      <c r="SK197" s="13"/>
      <c r="SL197" s="13"/>
      <c r="SM197" s="13"/>
      <c r="SN197" s="13"/>
      <c r="SO197" s="13"/>
      <c r="SP197" s="13"/>
      <c r="SQ197" s="13"/>
      <c r="SR197" s="13"/>
      <c r="SS197" s="13"/>
      <c r="ST197" s="13"/>
      <c r="SU197" s="13"/>
      <c r="SV197" s="13"/>
      <c r="SW197" s="13"/>
      <c r="SX197" s="13"/>
      <c r="SY197" s="13"/>
      <c r="SZ197" s="13"/>
      <c r="TA197" s="13"/>
      <c r="TB197" s="13"/>
      <c r="TC197" s="13"/>
      <c r="TD197" s="13"/>
      <c r="TE197" s="13"/>
      <c r="TF197" s="13"/>
      <c r="TG197" s="13"/>
      <c r="TH197" s="13"/>
      <c r="TI197" s="13"/>
      <c r="TJ197" s="13"/>
      <c r="TK197" s="13"/>
      <c r="TL197" s="13"/>
      <c r="TM197" s="13"/>
      <c r="TN197" s="13"/>
      <c r="TO197" s="13"/>
      <c r="TP197" s="13"/>
      <c r="TQ197" s="13"/>
      <c r="TR197" s="13"/>
      <c r="TS197" s="13"/>
      <c r="TT197" s="13"/>
      <c r="TU197" s="13"/>
      <c r="TV197" s="13"/>
      <c r="TW197" s="13"/>
      <c r="TX197" s="13"/>
      <c r="TY197" s="13"/>
      <c r="TZ197" s="13"/>
      <c r="UA197" s="13"/>
      <c r="UB197" s="13"/>
      <c r="UC197" s="13"/>
      <c r="UD197" s="13"/>
      <c r="UE197" s="13"/>
      <c r="UF197" s="13"/>
      <c r="UG197" s="13"/>
      <c r="UH197" s="13"/>
      <c r="UI197" s="13"/>
      <c r="UJ197" s="13"/>
      <c r="UK197" s="13"/>
      <c r="UL197" s="13"/>
      <c r="UM197" s="13"/>
      <c r="UN197" s="13"/>
      <c r="UO197" s="13"/>
      <c r="UP197" s="13"/>
      <c r="UQ197" s="13"/>
      <c r="UR197" s="13"/>
      <c r="US197" s="13"/>
      <c r="UT197" s="13"/>
      <c r="UU197" s="13"/>
      <c r="UV197" s="13"/>
      <c r="UW197" s="13"/>
      <c r="UX197" s="13"/>
      <c r="UY197" s="13"/>
      <c r="UZ197" s="13"/>
      <c r="VA197" s="13"/>
      <c r="VB197" s="13"/>
      <c r="VC197" s="13"/>
      <c r="VD197" s="13"/>
      <c r="VE197" s="13"/>
      <c r="VF197" s="13"/>
      <c r="VG197" s="13"/>
      <c r="VH197" s="13"/>
      <c r="VI197" s="13"/>
      <c r="VJ197" s="13"/>
      <c r="VK197" s="13"/>
      <c r="VL197" s="13"/>
      <c r="VM197" s="13"/>
      <c r="VN197" s="13"/>
      <c r="VO197" s="13"/>
      <c r="VP197" s="13"/>
      <c r="VQ197" s="13"/>
      <c r="VR197" s="13"/>
      <c r="VS197" s="13"/>
      <c r="VT197" s="13"/>
    </row>
    <row r="198" spans="1:592" s="21" customFormat="1" ht="21" x14ac:dyDescent="0.2">
      <c r="A198" s="10" t="s">
        <v>56</v>
      </c>
      <c r="B198" s="11">
        <v>22829903</v>
      </c>
      <c r="C198" s="11" t="s">
        <v>267</v>
      </c>
      <c r="D198" s="11">
        <v>5391602</v>
      </c>
      <c r="E198" s="225" t="s">
        <v>290</v>
      </c>
      <c r="F198" s="192" t="s">
        <v>278</v>
      </c>
      <c r="G198" s="201">
        <f>IFERROR(VLOOKUP(D198,List1!$A$5:$B$227,2,FALSE),"0")</f>
        <v>6969000</v>
      </c>
      <c r="H198" s="41">
        <f>IFERROR(VLOOKUP(D198,List1!$D$5:$E$41,2,FALSE),"0")</f>
        <v>479471</v>
      </c>
      <c r="I198" s="41" t="str">
        <f>IFERROR(VLOOKUP(D198,List1!$G$5:$H$227,2,FALSE),"0")</f>
        <v>0</v>
      </c>
      <c r="J198" s="40">
        <f t="shared" ref="J198:J249" si="26">G198+H198+I198</f>
        <v>7448471</v>
      </c>
      <c r="K198" s="41" t="str">
        <f>IFERROR(VLOOKUP(D198,List1!$J$5:$K$227,2,FALSE),"0")</f>
        <v>0</v>
      </c>
      <c r="L198" s="41" t="str">
        <f>IFERROR(VLOOKUP(D198,List1!$M$5:$N$112,2,FALSE),"0")</f>
        <v>0</v>
      </c>
      <c r="M198" s="43">
        <v>0</v>
      </c>
      <c r="N198" s="80">
        <f>VLOOKUP($D$5:$D$251,List2!$A$2:$B$241,2,FALSE)</f>
        <v>641851</v>
      </c>
      <c r="O198" s="80">
        <f>IFERROR(VLOOKUP($D$5:$D$260,List1!$Y$5:$Z$244,2,FALSE),0)</f>
        <v>0</v>
      </c>
      <c r="P198" s="202">
        <f>IFERROR(VLOOKUP($D$5:$D$260,List1!$AB$5:$AC$244,2,FALSE),0)</f>
        <v>0</v>
      </c>
      <c r="Q198" s="201">
        <f>IFERROR(VLOOKUP($D$5:$D$260,List1!$S$5:$T$231,2,FALSE),0)</f>
        <v>6836185</v>
      </c>
      <c r="R198" s="41">
        <v>0</v>
      </c>
      <c r="S198" s="41">
        <f>IFERROR(VLOOKUP($D$5:$D$260,List1!$AE$5:$AF$231,2,FALSE),0)</f>
        <v>581533</v>
      </c>
      <c r="T198" s="41">
        <f t="shared" ref="T198:T260" si="27">Q198+R198+S198</f>
        <v>7417718</v>
      </c>
      <c r="U198" s="41">
        <f>IFERROR(VLOOKUP(D198,List1!$P$5:$Q$110,2,FALSE),"0")</f>
        <v>490000</v>
      </c>
      <c r="V198" s="41">
        <v>0</v>
      </c>
      <c r="W198" s="248">
        <v>0</v>
      </c>
      <c r="X198" s="211">
        <f t="shared" ref="X198:X260" si="28">T198+U198+V198+W198</f>
        <v>7907718</v>
      </c>
      <c r="Y198" s="219"/>
      <c r="Z198" s="80">
        <f>IFERROR(VLOOKUP($D$5:$D$260,#REF!,3,FALSE),0)</f>
        <v>0</v>
      </c>
      <c r="AA198" s="80">
        <f>IFERROR(VLOOKUP($D$5:$D$260,#REF!,3,FALSE),0)</f>
        <v>0</v>
      </c>
      <c r="AB198" s="243">
        <v>0</v>
      </c>
      <c r="AC198" s="202">
        <f t="shared" ref="AC198:AC260" si="29">Z198+AA198+Y198+AB198</f>
        <v>0</v>
      </c>
      <c r="AD198" s="259">
        <f t="shared" ref="AD198:AD260" si="30">(Z198+AA198)-U198</f>
        <v>-490000</v>
      </c>
      <c r="AE198" s="260">
        <f t="shared" ref="AE198:AE260" si="31">IFERROR(((Z198+AA198)-U198)/U198,0)</f>
        <v>-1</v>
      </c>
      <c r="AF198" s="260">
        <f t="shared" ref="AF198:AF260" si="32">IFERROR((Z198-U198)/U198,0)</f>
        <v>-1</v>
      </c>
      <c r="AG198" s="260">
        <f t="shared" ref="AG198:AG260" si="33">IFERROR((AA198-U198)/U198,0)</f>
        <v>-1</v>
      </c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/>
      <c r="IH198" s="13"/>
      <c r="II198" s="13"/>
      <c r="IJ198" s="13"/>
      <c r="IK198" s="13"/>
      <c r="IL198" s="13"/>
      <c r="IM198" s="13"/>
      <c r="IN198" s="13"/>
      <c r="IO198" s="13"/>
      <c r="IP198" s="13"/>
      <c r="IQ198" s="13"/>
      <c r="IR198" s="13"/>
      <c r="IS198" s="13"/>
      <c r="IT198" s="13"/>
      <c r="IU198" s="13"/>
      <c r="IV198" s="13"/>
      <c r="IW198" s="13"/>
      <c r="IX198" s="13"/>
      <c r="IY198" s="13"/>
      <c r="IZ198" s="13"/>
      <c r="JA198" s="13"/>
      <c r="JB198" s="13"/>
      <c r="JC198" s="13"/>
      <c r="JD198" s="13"/>
      <c r="JE198" s="13"/>
      <c r="JF198" s="13"/>
      <c r="JG198" s="13"/>
      <c r="JH198" s="13"/>
      <c r="JI198" s="13"/>
      <c r="JJ198" s="13"/>
      <c r="JK198" s="13"/>
      <c r="JL198" s="13"/>
      <c r="JM198" s="13"/>
      <c r="JN198" s="13"/>
      <c r="JO198" s="13"/>
      <c r="JP198" s="13"/>
      <c r="JQ198" s="13"/>
      <c r="JR198" s="13"/>
      <c r="JS198" s="13"/>
      <c r="JT198" s="13"/>
      <c r="JU198" s="13"/>
      <c r="JV198" s="13"/>
      <c r="JW198" s="13"/>
      <c r="JX198" s="13"/>
      <c r="JY198" s="13"/>
      <c r="JZ198" s="13"/>
      <c r="KA198" s="13"/>
      <c r="KB198" s="13"/>
      <c r="KC198" s="13"/>
      <c r="KD198" s="13"/>
      <c r="KE198" s="13"/>
      <c r="KF198" s="13"/>
      <c r="KG198" s="13"/>
      <c r="KH198" s="13"/>
      <c r="KI198" s="13"/>
      <c r="KJ198" s="13"/>
      <c r="KK198" s="13"/>
      <c r="KL198" s="13"/>
      <c r="KM198" s="13"/>
      <c r="KN198" s="13"/>
      <c r="KO198" s="13"/>
      <c r="KP198" s="13"/>
      <c r="KQ198" s="13"/>
      <c r="KR198" s="13"/>
      <c r="KS198" s="13"/>
      <c r="KT198" s="13"/>
      <c r="KU198" s="13"/>
      <c r="KV198" s="13"/>
      <c r="KW198" s="13"/>
      <c r="KX198" s="13"/>
      <c r="KY198" s="13"/>
      <c r="KZ198" s="13"/>
      <c r="LA198" s="13"/>
      <c r="LB198" s="13"/>
      <c r="LC198" s="13"/>
      <c r="LD198" s="13"/>
      <c r="LE198" s="13"/>
      <c r="LF198" s="13"/>
      <c r="LG198" s="13"/>
      <c r="LH198" s="13"/>
      <c r="LI198" s="13"/>
      <c r="LJ198" s="13"/>
      <c r="LK198" s="13"/>
      <c r="LL198" s="13"/>
      <c r="LM198" s="13"/>
      <c r="LN198" s="13"/>
      <c r="LO198" s="13"/>
      <c r="LP198" s="13"/>
      <c r="LQ198" s="13"/>
      <c r="LR198" s="13"/>
      <c r="LS198" s="13"/>
      <c r="LT198" s="13"/>
      <c r="LU198" s="13"/>
      <c r="LV198" s="13"/>
      <c r="LW198" s="13"/>
      <c r="LX198" s="13"/>
      <c r="LY198" s="13"/>
      <c r="LZ198" s="13"/>
      <c r="MA198" s="13"/>
      <c r="MB198" s="13"/>
      <c r="MC198" s="13"/>
      <c r="MD198" s="13"/>
      <c r="ME198" s="13"/>
      <c r="MF198" s="13"/>
      <c r="MG198" s="13"/>
      <c r="MH198" s="13"/>
      <c r="MI198" s="13"/>
      <c r="MJ198" s="13"/>
      <c r="MK198" s="13"/>
      <c r="ML198" s="13"/>
      <c r="MM198" s="13"/>
      <c r="MN198" s="13"/>
      <c r="MO198" s="13"/>
      <c r="MP198" s="13"/>
      <c r="MQ198" s="13"/>
      <c r="MR198" s="13"/>
      <c r="MS198" s="13"/>
      <c r="MT198" s="13"/>
      <c r="MU198" s="13"/>
      <c r="MV198" s="13"/>
      <c r="MW198" s="13"/>
      <c r="MX198" s="13"/>
      <c r="MY198" s="13"/>
      <c r="MZ198" s="13"/>
      <c r="NA198" s="13"/>
      <c r="NB198" s="13"/>
      <c r="NC198" s="13"/>
      <c r="ND198" s="13"/>
      <c r="NE198" s="13"/>
      <c r="NF198" s="13"/>
      <c r="NG198" s="13"/>
      <c r="NH198" s="13"/>
      <c r="NI198" s="13"/>
      <c r="NJ198" s="13"/>
      <c r="NK198" s="13"/>
      <c r="NL198" s="13"/>
      <c r="NM198" s="13"/>
      <c r="NN198" s="13"/>
      <c r="NO198" s="13"/>
      <c r="NP198" s="13"/>
      <c r="NQ198" s="13"/>
      <c r="NR198" s="13"/>
      <c r="NS198" s="13"/>
      <c r="NT198" s="13"/>
      <c r="NU198" s="13"/>
      <c r="NV198" s="13"/>
      <c r="NW198" s="13"/>
      <c r="NX198" s="13"/>
      <c r="NY198" s="13"/>
      <c r="NZ198" s="13"/>
      <c r="OA198" s="13"/>
      <c r="OB198" s="13"/>
      <c r="OC198" s="13"/>
      <c r="OD198" s="13"/>
      <c r="OE198" s="13"/>
      <c r="OF198" s="13"/>
      <c r="OG198" s="13"/>
      <c r="OH198" s="13"/>
      <c r="OI198" s="13"/>
      <c r="OJ198" s="13"/>
      <c r="OK198" s="13"/>
      <c r="OL198" s="13"/>
      <c r="OM198" s="13"/>
      <c r="ON198" s="13"/>
      <c r="OO198" s="13"/>
      <c r="OP198" s="13"/>
      <c r="OQ198" s="13"/>
      <c r="OR198" s="13"/>
      <c r="OS198" s="13"/>
      <c r="OT198" s="13"/>
      <c r="OU198" s="13"/>
      <c r="OV198" s="13"/>
      <c r="OW198" s="13"/>
      <c r="OX198" s="13"/>
      <c r="OY198" s="13"/>
      <c r="OZ198" s="13"/>
      <c r="PA198" s="13"/>
      <c r="PB198" s="13"/>
      <c r="PC198" s="13"/>
      <c r="PD198" s="13"/>
      <c r="PE198" s="13"/>
      <c r="PF198" s="13"/>
      <c r="PG198" s="13"/>
      <c r="PH198" s="13"/>
      <c r="PI198" s="13"/>
      <c r="PJ198" s="13"/>
      <c r="PK198" s="13"/>
      <c r="PL198" s="13"/>
      <c r="PM198" s="13"/>
      <c r="PN198" s="13"/>
      <c r="PO198" s="13"/>
      <c r="PP198" s="13"/>
      <c r="PQ198" s="13"/>
      <c r="PR198" s="13"/>
      <c r="PS198" s="13"/>
      <c r="PT198" s="13"/>
      <c r="PU198" s="13"/>
      <c r="PV198" s="13"/>
      <c r="PW198" s="13"/>
      <c r="PX198" s="13"/>
      <c r="PY198" s="13"/>
      <c r="PZ198" s="13"/>
      <c r="QA198" s="13"/>
      <c r="QB198" s="13"/>
      <c r="QC198" s="13"/>
      <c r="QD198" s="13"/>
      <c r="QE198" s="13"/>
      <c r="QF198" s="13"/>
      <c r="QG198" s="13"/>
      <c r="QH198" s="13"/>
      <c r="QI198" s="13"/>
      <c r="QJ198" s="13"/>
      <c r="QK198" s="13"/>
      <c r="QL198" s="13"/>
      <c r="QM198" s="13"/>
      <c r="QN198" s="13"/>
      <c r="QO198" s="13"/>
      <c r="QP198" s="13"/>
      <c r="QQ198" s="13"/>
      <c r="QR198" s="13"/>
      <c r="QS198" s="13"/>
      <c r="QT198" s="13"/>
      <c r="QU198" s="13"/>
      <c r="QV198" s="13"/>
      <c r="QW198" s="13"/>
      <c r="QX198" s="13"/>
      <c r="QY198" s="13"/>
      <c r="QZ198" s="13"/>
      <c r="RA198" s="13"/>
      <c r="RB198" s="13"/>
      <c r="RC198" s="13"/>
      <c r="RD198" s="13"/>
      <c r="RE198" s="13"/>
      <c r="RF198" s="13"/>
      <c r="RG198" s="13"/>
      <c r="RH198" s="13"/>
      <c r="RI198" s="13"/>
      <c r="RJ198" s="13"/>
      <c r="RK198" s="13"/>
      <c r="RL198" s="13"/>
      <c r="RM198" s="13"/>
      <c r="RN198" s="13"/>
      <c r="RO198" s="13"/>
      <c r="RP198" s="13"/>
      <c r="RQ198" s="13"/>
      <c r="RR198" s="13"/>
      <c r="RS198" s="13"/>
      <c r="RT198" s="13"/>
      <c r="RU198" s="13"/>
      <c r="RV198" s="13"/>
      <c r="RW198" s="13"/>
      <c r="RX198" s="13"/>
      <c r="RY198" s="13"/>
      <c r="RZ198" s="13"/>
      <c r="SA198" s="13"/>
      <c r="SB198" s="13"/>
      <c r="SC198" s="13"/>
      <c r="SD198" s="13"/>
      <c r="SE198" s="13"/>
      <c r="SF198" s="13"/>
      <c r="SG198" s="13"/>
      <c r="SH198" s="13"/>
      <c r="SI198" s="13"/>
      <c r="SJ198" s="13"/>
      <c r="SK198" s="13"/>
      <c r="SL198" s="13"/>
      <c r="SM198" s="13"/>
      <c r="SN198" s="13"/>
      <c r="SO198" s="13"/>
      <c r="SP198" s="13"/>
      <c r="SQ198" s="13"/>
      <c r="SR198" s="13"/>
      <c r="SS198" s="13"/>
      <c r="ST198" s="13"/>
      <c r="SU198" s="13"/>
      <c r="SV198" s="13"/>
      <c r="SW198" s="13"/>
      <c r="SX198" s="13"/>
      <c r="SY198" s="13"/>
      <c r="SZ198" s="13"/>
      <c r="TA198" s="13"/>
      <c r="TB198" s="13"/>
      <c r="TC198" s="13"/>
      <c r="TD198" s="13"/>
      <c r="TE198" s="13"/>
      <c r="TF198" s="13"/>
      <c r="TG198" s="13"/>
      <c r="TH198" s="13"/>
      <c r="TI198" s="13"/>
      <c r="TJ198" s="13"/>
      <c r="TK198" s="13"/>
      <c r="TL198" s="13"/>
      <c r="TM198" s="13"/>
      <c r="TN198" s="13"/>
      <c r="TO198" s="13"/>
      <c r="TP198" s="13"/>
      <c r="TQ198" s="13"/>
      <c r="TR198" s="13"/>
      <c r="TS198" s="13"/>
      <c r="TT198" s="13"/>
      <c r="TU198" s="13"/>
      <c r="TV198" s="13"/>
      <c r="TW198" s="13"/>
      <c r="TX198" s="13"/>
      <c r="TY198" s="13"/>
      <c r="TZ198" s="13"/>
      <c r="UA198" s="13"/>
      <c r="UB198" s="13"/>
      <c r="UC198" s="13"/>
      <c r="UD198" s="13"/>
      <c r="UE198" s="13"/>
      <c r="UF198" s="13"/>
      <c r="UG198" s="13"/>
      <c r="UH198" s="13"/>
      <c r="UI198" s="13"/>
      <c r="UJ198" s="13"/>
      <c r="UK198" s="13"/>
      <c r="UL198" s="13"/>
      <c r="UM198" s="13"/>
      <c r="UN198" s="13"/>
      <c r="UO198" s="13"/>
      <c r="UP198" s="13"/>
      <c r="UQ198" s="13"/>
      <c r="UR198" s="13"/>
      <c r="US198" s="13"/>
      <c r="UT198" s="13"/>
      <c r="UU198" s="13"/>
      <c r="UV198" s="13"/>
      <c r="UW198" s="13"/>
      <c r="UX198" s="13"/>
      <c r="UY198" s="13"/>
      <c r="UZ198" s="13"/>
      <c r="VA198" s="13"/>
      <c r="VB198" s="13"/>
      <c r="VC198" s="13"/>
      <c r="VD198" s="13"/>
      <c r="VE198" s="13"/>
      <c r="VF198" s="13"/>
      <c r="VG198" s="13"/>
      <c r="VH198" s="13"/>
      <c r="VI198" s="13"/>
      <c r="VJ198" s="13"/>
      <c r="VK198" s="13"/>
      <c r="VL198" s="13"/>
      <c r="VM198" s="13"/>
      <c r="VN198" s="13"/>
      <c r="VO198" s="13"/>
      <c r="VP198" s="13"/>
      <c r="VQ198" s="13"/>
      <c r="VR198" s="13"/>
      <c r="VS198" s="13"/>
      <c r="VT198" s="13"/>
    </row>
    <row r="199" spans="1:592" s="21" customFormat="1" ht="31.5" x14ac:dyDescent="0.2">
      <c r="A199" s="10" t="s">
        <v>174</v>
      </c>
      <c r="B199" s="11">
        <v>26537036</v>
      </c>
      <c r="C199" s="11" t="s">
        <v>318</v>
      </c>
      <c r="D199" s="11">
        <v>1464519</v>
      </c>
      <c r="E199" s="12" t="s">
        <v>268</v>
      </c>
      <c r="F199" s="192" t="s">
        <v>300</v>
      </c>
      <c r="G199" s="201">
        <f>IFERROR(VLOOKUP(D199,List1!$A$5:$B$227,2,FALSE),"0")</f>
        <v>804000</v>
      </c>
      <c r="H199" s="41" t="str">
        <f>IFERROR(VLOOKUP(D199,List1!$D$5:$E$41,2,FALSE),"0")</f>
        <v>0</v>
      </c>
      <c r="I199" s="41">
        <f>IFERROR(VLOOKUP(D199,List1!$G$5:$H$227,2,FALSE),"0")</f>
        <v>241901</v>
      </c>
      <c r="J199" s="40">
        <f t="shared" si="26"/>
        <v>1045901</v>
      </c>
      <c r="K199" s="41" t="str">
        <f>IFERROR(VLOOKUP(D199,List1!$J$5:$K$227,2,FALSE),"0")</f>
        <v>0</v>
      </c>
      <c r="L199" s="41">
        <f>IFERROR(VLOOKUP(D199,List1!$M$5:$N$112,2,FALSE),"0")</f>
        <v>18000</v>
      </c>
      <c r="M199" s="43">
        <v>0</v>
      </c>
      <c r="N199" s="80">
        <f>VLOOKUP($D$5:$D$251,List2!$A$2:$B$241,2,FALSE)</f>
        <v>86289</v>
      </c>
      <c r="O199" s="80">
        <f>IFERROR(VLOOKUP($D$5:$D$260,List1!$Y$5:$Z$244,2,FALSE),0)</f>
        <v>0</v>
      </c>
      <c r="P199" s="202">
        <f>IFERROR(VLOOKUP($D$5:$D$260,List1!$AB$5:$AC$244,2,FALSE),0)</f>
        <v>0</v>
      </c>
      <c r="Q199" s="201">
        <f>IFERROR(VLOOKUP($D$5:$D$260,List1!$S$5:$T$231,2,FALSE),0)</f>
        <v>829522</v>
      </c>
      <c r="R199" s="41">
        <v>0</v>
      </c>
      <c r="S199" s="41">
        <f>IFERROR(VLOOKUP($D$5:$D$260,List1!$AE$5:$AF$231,2,FALSE),0)</f>
        <v>250000</v>
      </c>
      <c r="T199" s="41">
        <f t="shared" si="27"/>
        <v>1079522</v>
      </c>
      <c r="U199" s="41">
        <f>IFERROR(VLOOKUP(D199,List1!$P$5:$Q$110,2,FALSE),"0")</f>
        <v>116000</v>
      </c>
      <c r="V199" s="41">
        <v>0</v>
      </c>
      <c r="W199" s="248">
        <v>0</v>
      </c>
      <c r="X199" s="211">
        <f t="shared" si="28"/>
        <v>1195522</v>
      </c>
      <c r="Y199" s="219"/>
      <c r="Z199" s="80">
        <f>IFERROR(VLOOKUP($D$5:$D$260,#REF!,3,FALSE),0)</f>
        <v>0</v>
      </c>
      <c r="AA199" s="80">
        <f>IFERROR(VLOOKUP($D$5:$D$260,#REF!,3,FALSE),0)</f>
        <v>0</v>
      </c>
      <c r="AB199" s="243">
        <v>0</v>
      </c>
      <c r="AC199" s="202">
        <f t="shared" si="29"/>
        <v>0</v>
      </c>
      <c r="AD199" s="259">
        <f t="shared" si="30"/>
        <v>-116000</v>
      </c>
      <c r="AE199" s="260">
        <f t="shared" si="31"/>
        <v>-1</v>
      </c>
      <c r="AF199" s="260">
        <f t="shared" si="32"/>
        <v>-1</v>
      </c>
      <c r="AG199" s="260">
        <f t="shared" si="33"/>
        <v>-1</v>
      </c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  <c r="IL199" s="13"/>
      <c r="IM199" s="13"/>
      <c r="IN199" s="13"/>
      <c r="IO199" s="13"/>
      <c r="IP199" s="13"/>
      <c r="IQ199" s="13"/>
      <c r="IR199" s="13"/>
      <c r="IS199" s="13"/>
      <c r="IT199" s="13"/>
      <c r="IU199" s="13"/>
      <c r="IV199" s="13"/>
      <c r="IW199" s="13"/>
      <c r="IX199" s="13"/>
      <c r="IY199" s="13"/>
      <c r="IZ199" s="13"/>
      <c r="JA199" s="13"/>
      <c r="JB199" s="13"/>
      <c r="JC199" s="13"/>
      <c r="JD199" s="13"/>
      <c r="JE199" s="13"/>
      <c r="JF199" s="13"/>
      <c r="JG199" s="13"/>
      <c r="JH199" s="13"/>
      <c r="JI199" s="13"/>
      <c r="JJ199" s="13"/>
      <c r="JK199" s="13"/>
      <c r="JL199" s="13"/>
      <c r="JM199" s="13"/>
      <c r="JN199" s="13"/>
      <c r="JO199" s="13"/>
      <c r="JP199" s="13"/>
      <c r="JQ199" s="13"/>
      <c r="JR199" s="13"/>
      <c r="JS199" s="13"/>
      <c r="JT199" s="13"/>
      <c r="JU199" s="13"/>
      <c r="JV199" s="13"/>
      <c r="JW199" s="13"/>
      <c r="JX199" s="13"/>
      <c r="JY199" s="13"/>
      <c r="JZ199" s="13"/>
      <c r="KA199" s="13"/>
      <c r="KB199" s="13"/>
      <c r="KC199" s="13"/>
      <c r="KD199" s="13"/>
      <c r="KE199" s="13"/>
      <c r="KF199" s="13"/>
      <c r="KG199" s="13"/>
      <c r="KH199" s="13"/>
      <c r="KI199" s="13"/>
      <c r="KJ199" s="13"/>
      <c r="KK199" s="13"/>
      <c r="KL199" s="13"/>
      <c r="KM199" s="13"/>
      <c r="KN199" s="13"/>
      <c r="KO199" s="13"/>
      <c r="KP199" s="13"/>
      <c r="KQ199" s="13"/>
      <c r="KR199" s="13"/>
      <c r="KS199" s="13"/>
      <c r="KT199" s="13"/>
      <c r="KU199" s="13"/>
      <c r="KV199" s="13"/>
      <c r="KW199" s="13"/>
      <c r="KX199" s="13"/>
      <c r="KY199" s="13"/>
      <c r="KZ199" s="13"/>
      <c r="LA199" s="13"/>
      <c r="LB199" s="13"/>
      <c r="LC199" s="13"/>
      <c r="LD199" s="13"/>
      <c r="LE199" s="13"/>
      <c r="LF199" s="13"/>
      <c r="LG199" s="13"/>
      <c r="LH199" s="13"/>
      <c r="LI199" s="13"/>
      <c r="LJ199" s="13"/>
      <c r="LK199" s="13"/>
      <c r="LL199" s="13"/>
      <c r="LM199" s="13"/>
      <c r="LN199" s="13"/>
      <c r="LO199" s="13"/>
      <c r="LP199" s="13"/>
      <c r="LQ199" s="13"/>
      <c r="LR199" s="13"/>
      <c r="LS199" s="13"/>
      <c r="LT199" s="13"/>
      <c r="LU199" s="13"/>
      <c r="LV199" s="13"/>
      <c r="LW199" s="13"/>
      <c r="LX199" s="13"/>
      <c r="LY199" s="13"/>
      <c r="LZ199" s="13"/>
      <c r="MA199" s="13"/>
      <c r="MB199" s="13"/>
      <c r="MC199" s="13"/>
      <c r="MD199" s="13"/>
      <c r="ME199" s="13"/>
      <c r="MF199" s="13"/>
      <c r="MG199" s="13"/>
      <c r="MH199" s="13"/>
      <c r="MI199" s="13"/>
      <c r="MJ199" s="13"/>
      <c r="MK199" s="13"/>
      <c r="ML199" s="13"/>
      <c r="MM199" s="13"/>
      <c r="MN199" s="13"/>
      <c r="MO199" s="13"/>
      <c r="MP199" s="13"/>
      <c r="MQ199" s="13"/>
      <c r="MR199" s="13"/>
      <c r="MS199" s="13"/>
      <c r="MT199" s="13"/>
      <c r="MU199" s="13"/>
      <c r="MV199" s="13"/>
      <c r="MW199" s="13"/>
      <c r="MX199" s="13"/>
      <c r="MY199" s="13"/>
      <c r="MZ199" s="13"/>
      <c r="NA199" s="13"/>
      <c r="NB199" s="13"/>
      <c r="NC199" s="13"/>
      <c r="ND199" s="13"/>
      <c r="NE199" s="13"/>
      <c r="NF199" s="13"/>
      <c r="NG199" s="13"/>
      <c r="NH199" s="13"/>
      <c r="NI199" s="13"/>
      <c r="NJ199" s="13"/>
      <c r="NK199" s="13"/>
      <c r="NL199" s="13"/>
      <c r="NM199" s="13"/>
      <c r="NN199" s="13"/>
      <c r="NO199" s="13"/>
      <c r="NP199" s="13"/>
      <c r="NQ199" s="13"/>
      <c r="NR199" s="13"/>
      <c r="NS199" s="13"/>
      <c r="NT199" s="13"/>
      <c r="NU199" s="13"/>
      <c r="NV199" s="13"/>
      <c r="NW199" s="13"/>
      <c r="NX199" s="13"/>
      <c r="NY199" s="13"/>
      <c r="NZ199" s="13"/>
      <c r="OA199" s="13"/>
      <c r="OB199" s="13"/>
      <c r="OC199" s="13"/>
      <c r="OD199" s="13"/>
      <c r="OE199" s="13"/>
      <c r="OF199" s="13"/>
      <c r="OG199" s="13"/>
      <c r="OH199" s="13"/>
      <c r="OI199" s="13"/>
      <c r="OJ199" s="13"/>
      <c r="OK199" s="13"/>
      <c r="OL199" s="13"/>
      <c r="OM199" s="13"/>
      <c r="ON199" s="13"/>
      <c r="OO199" s="13"/>
      <c r="OP199" s="13"/>
      <c r="OQ199" s="13"/>
      <c r="OR199" s="13"/>
      <c r="OS199" s="13"/>
      <c r="OT199" s="13"/>
      <c r="OU199" s="13"/>
      <c r="OV199" s="13"/>
      <c r="OW199" s="13"/>
      <c r="OX199" s="13"/>
      <c r="OY199" s="13"/>
      <c r="OZ199" s="13"/>
      <c r="PA199" s="13"/>
      <c r="PB199" s="13"/>
      <c r="PC199" s="13"/>
      <c r="PD199" s="13"/>
      <c r="PE199" s="13"/>
      <c r="PF199" s="13"/>
      <c r="PG199" s="13"/>
      <c r="PH199" s="13"/>
      <c r="PI199" s="13"/>
      <c r="PJ199" s="13"/>
      <c r="PK199" s="13"/>
      <c r="PL199" s="13"/>
      <c r="PM199" s="13"/>
      <c r="PN199" s="13"/>
      <c r="PO199" s="13"/>
      <c r="PP199" s="13"/>
      <c r="PQ199" s="13"/>
      <c r="PR199" s="13"/>
      <c r="PS199" s="13"/>
      <c r="PT199" s="13"/>
      <c r="PU199" s="13"/>
      <c r="PV199" s="13"/>
      <c r="PW199" s="13"/>
      <c r="PX199" s="13"/>
      <c r="PY199" s="13"/>
      <c r="PZ199" s="13"/>
      <c r="QA199" s="13"/>
      <c r="QB199" s="13"/>
      <c r="QC199" s="13"/>
      <c r="QD199" s="13"/>
      <c r="QE199" s="13"/>
      <c r="QF199" s="13"/>
      <c r="QG199" s="13"/>
      <c r="QH199" s="13"/>
      <c r="QI199" s="13"/>
      <c r="QJ199" s="13"/>
      <c r="QK199" s="13"/>
      <c r="QL199" s="13"/>
      <c r="QM199" s="13"/>
      <c r="QN199" s="13"/>
      <c r="QO199" s="13"/>
      <c r="QP199" s="13"/>
      <c r="QQ199" s="13"/>
      <c r="QR199" s="13"/>
      <c r="QS199" s="13"/>
      <c r="QT199" s="13"/>
      <c r="QU199" s="13"/>
      <c r="QV199" s="13"/>
      <c r="QW199" s="13"/>
      <c r="QX199" s="13"/>
      <c r="QY199" s="13"/>
      <c r="QZ199" s="13"/>
      <c r="RA199" s="13"/>
      <c r="RB199" s="13"/>
      <c r="RC199" s="13"/>
      <c r="RD199" s="13"/>
      <c r="RE199" s="13"/>
      <c r="RF199" s="13"/>
      <c r="RG199" s="13"/>
      <c r="RH199" s="13"/>
      <c r="RI199" s="13"/>
      <c r="RJ199" s="13"/>
      <c r="RK199" s="13"/>
      <c r="RL199" s="13"/>
      <c r="RM199" s="13"/>
      <c r="RN199" s="13"/>
      <c r="RO199" s="13"/>
      <c r="RP199" s="13"/>
      <c r="RQ199" s="13"/>
      <c r="RR199" s="13"/>
      <c r="RS199" s="13"/>
      <c r="RT199" s="13"/>
      <c r="RU199" s="13"/>
      <c r="RV199" s="13"/>
      <c r="RW199" s="13"/>
      <c r="RX199" s="13"/>
      <c r="RY199" s="13"/>
      <c r="RZ199" s="13"/>
      <c r="SA199" s="13"/>
      <c r="SB199" s="13"/>
      <c r="SC199" s="13"/>
      <c r="SD199" s="13"/>
      <c r="SE199" s="13"/>
      <c r="SF199" s="13"/>
      <c r="SG199" s="13"/>
      <c r="SH199" s="13"/>
      <c r="SI199" s="13"/>
      <c r="SJ199" s="13"/>
      <c r="SK199" s="13"/>
      <c r="SL199" s="13"/>
      <c r="SM199" s="13"/>
      <c r="SN199" s="13"/>
      <c r="SO199" s="13"/>
      <c r="SP199" s="13"/>
      <c r="SQ199" s="13"/>
      <c r="SR199" s="13"/>
      <c r="SS199" s="13"/>
      <c r="ST199" s="13"/>
      <c r="SU199" s="13"/>
      <c r="SV199" s="13"/>
      <c r="SW199" s="13"/>
      <c r="SX199" s="13"/>
      <c r="SY199" s="13"/>
      <c r="SZ199" s="13"/>
      <c r="TA199" s="13"/>
      <c r="TB199" s="13"/>
      <c r="TC199" s="13"/>
      <c r="TD199" s="13"/>
      <c r="TE199" s="13"/>
      <c r="TF199" s="13"/>
      <c r="TG199" s="13"/>
      <c r="TH199" s="13"/>
      <c r="TI199" s="13"/>
      <c r="TJ199" s="13"/>
      <c r="TK199" s="13"/>
      <c r="TL199" s="13"/>
      <c r="TM199" s="13"/>
      <c r="TN199" s="13"/>
      <c r="TO199" s="13"/>
      <c r="TP199" s="13"/>
      <c r="TQ199" s="13"/>
      <c r="TR199" s="13"/>
      <c r="TS199" s="13"/>
      <c r="TT199" s="13"/>
      <c r="TU199" s="13"/>
      <c r="TV199" s="13"/>
      <c r="TW199" s="13"/>
      <c r="TX199" s="13"/>
      <c r="TY199" s="13"/>
      <c r="TZ199" s="13"/>
      <c r="UA199" s="13"/>
      <c r="UB199" s="13"/>
      <c r="UC199" s="13"/>
      <c r="UD199" s="13"/>
      <c r="UE199" s="13"/>
      <c r="UF199" s="13"/>
      <c r="UG199" s="13"/>
      <c r="UH199" s="13"/>
      <c r="UI199" s="13"/>
      <c r="UJ199" s="13"/>
      <c r="UK199" s="13"/>
      <c r="UL199" s="13"/>
      <c r="UM199" s="13"/>
      <c r="UN199" s="13"/>
      <c r="UO199" s="13"/>
      <c r="UP199" s="13"/>
      <c r="UQ199" s="13"/>
      <c r="UR199" s="13"/>
      <c r="US199" s="13"/>
      <c r="UT199" s="13"/>
      <c r="UU199" s="13"/>
      <c r="UV199" s="13"/>
      <c r="UW199" s="13"/>
      <c r="UX199" s="13"/>
      <c r="UY199" s="13"/>
      <c r="UZ199" s="13"/>
      <c r="VA199" s="13"/>
      <c r="VB199" s="13"/>
      <c r="VC199" s="13"/>
      <c r="VD199" s="13"/>
      <c r="VE199" s="13"/>
      <c r="VF199" s="13"/>
      <c r="VG199" s="13"/>
      <c r="VH199" s="13"/>
      <c r="VI199" s="13"/>
      <c r="VJ199" s="13"/>
      <c r="VK199" s="13"/>
      <c r="VL199" s="13"/>
      <c r="VM199" s="13"/>
      <c r="VN199" s="13"/>
      <c r="VO199" s="13"/>
      <c r="VP199" s="13"/>
      <c r="VQ199" s="13"/>
      <c r="VR199" s="13"/>
      <c r="VS199" s="13"/>
      <c r="VT199" s="13"/>
    </row>
    <row r="200" spans="1:592" s="29" customFormat="1" ht="31.5" x14ac:dyDescent="0.2">
      <c r="A200" s="10" t="s">
        <v>174</v>
      </c>
      <c r="B200" s="11">
        <v>26537036</v>
      </c>
      <c r="C200" s="11" t="s">
        <v>318</v>
      </c>
      <c r="D200" s="11">
        <v>1161877</v>
      </c>
      <c r="E200" s="228" t="s">
        <v>331</v>
      </c>
      <c r="F200" s="192" t="s">
        <v>294</v>
      </c>
      <c r="G200" s="201">
        <f>IFERROR(VLOOKUP(D200,List1!$A$5:$B$227,2,FALSE),"0")</f>
        <v>3886000</v>
      </c>
      <c r="H200" s="41" t="str">
        <f>IFERROR(VLOOKUP(D200,List1!$D$5:$E$41,2,FALSE),"0")</f>
        <v>0</v>
      </c>
      <c r="I200" s="41">
        <f>IFERROR(VLOOKUP(D200,List1!$G$5:$H$227,2,FALSE),"0")</f>
        <v>288000</v>
      </c>
      <c r="J200" s="40">
        <f t="shared" si="26"/>
        <v>4174000</v>
      </c>
      <c r="K200" s="41">
        <f>IFERROR(VLOOKUP(D200,List1!$J$5:$K$227,2,FALSE),"0")</f>
        <v>205000</v>
      </c>
      <c r="L200" s="41">
        <f>IFERROR(VLOOKUP(D200,List1!$M$5:$N$112,2,FALSE),"0")</f>
        <v>86000</v>
      </c>
      <c r="M200" s="43">
        <v>0</v>
      </c>
      <c r="N200" s="80">
        <f>VLOOKUP($D$5:$D$251,List2!$A$2:$B$241,2,FALSE)</f>
        <v>198609</v>
      </c>
      <c r="O200" s="80">
        <f>IFERROR(VLOOKUP($D$5:$D$260,List1!$Y$5:$Z$244,2,FALSE),0)</f>
        <v>0</v>
      </c>
      <c r="P200" s="202">
        <f>IFERROR(VLOOKUP($D$5:$D$260,List1!$AB$5:$AC$244,2,FALSE),0)</f>
        <v>0</v>
      </c>
      <c r="Q200" s="201">
        <f>IFERROR(VLOOKUP($D$5:$D$260,List1!$S$5:$T$231,2,FALSE),0)</f>
        <v>4512601</v>
      </c>
      <c r="R200" s="41">
        <v>0</v>
      </c>
      <c r="S200" s="41">
        <f>IFERROR(VLOOKUP($D$5:$D$260,List1!$AE$5:$AF$231,2,FALSE),0)</f>
        <v>1350000</v>
      </c>
      <c r="T200" s="41">
        <f t="shared" si="27"/>
        <v>5862601</v>
      </c>
      <c r="U200" s="41">
        <f>IFERROR(VLOOKUP(D200,List1!$P$5:$Q$110,2,FALSE),"0")</f>
        <v>490000</v>
      </c>
      <c r="V200" s="41">
        <v>0</v>
      </c>
      <c r="W200" s="248">
        <v>0</v>
      </c>
      <c r="X200" s="211">
        <f t="shared" si="28"/>
        <v>6352601</v>
      </c>
      <c r="Y200" s="219"/>
      <c r="Z200" s="80">
        <f>IFERROR(VLOOKUP($D$5:$D$260,#REF!,3,FALSE),0)</f>
        <v>0</v>
      </c>
      <c r="AA200" s="80">
        <f>IFERROR(VLOOKUP($D$5:$D$260,#REF!,3,FALSE),0)</f>
        <v>0</v>
      </c>
      <c r="AB200" s="243">
        <v>0</v>
      </c>
      <c r="AC200" s="202">
        <f t="shared" si="29"/>
        <v>0</v>
      </c>
      <c r="AD200" s="259">
        <f t="shared" si="30"/>
        <v>-490000</v>
      </c>
      <c r="AE200" s="260">
        <f t="shared" si="31"/>
        <v>-1</v>
      </c>
      <c r="AF200" s="260">
        <f t="shared" si="32"/>
        <v>-1</v>
      </c>
      <c r="AG200" s="260">
        <f t="shared" si="33"/>
        <v>-1</v>
      </c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  <c r="IG200" s="13"/>
      <c r="IH200" s="13"/>
      <c r="II200" s="13"/>
      <c r="IJ200" s="13"/>
      <c r="IK200" s="13"/>
      <c r="IL200" s="13"/>
      <c r="IM200" s="13"/>
      <c r="IN200" s="13"/>
      <c r="IO200" s="13"/>
      <c r="IP200" s="13"/>
      <c r="IQ200" s="13"/>
      <c r="IR200" s="13"/>
      <c r="IS200" s="13"/>
      <c r="IT200" s="13"/>
      <c r="IU200" s="13"/>
      <c r="IV200" s="13"/>
      <c r="IW200" s="13"/>
      <c r="IX200" s="13"/>
      <c r="IY200" s="13"/>
      <c r="IZ200" s="13"/>
      <c r="JA200" s="13"/>
      <c r="JB200" s="13"/>
      <c r="JC200" s="13"/>
      <c r="JD200" s="13"/>
      <c r="JE200" s="13"/>
      <c r="JF200" s="13"/>
      <c r="JG200" s="13"/>
      <c r="JH200" s="13"/>
      <c r="JI200" s="13"/>
      <c r="JJ200" s="13"/>
      <c r="JK200" s="13"/>
      <c r="JL200" s="13"/>
      <c r="JM200" s="13"/>
      <c r="JN200" s="13"/>
      <c r="JO200" s="13"/>
      <c r="JP200" s="13"/>
      <c r="JQ200" s="13"/>
      <c r="JR200" s="13"/>
      <c r="JS200" s="13"/>
      <c r="JT200" s="13"/>
      <c r="JU200" s="13"/>
      <c r="JV200" s="13"/>
      <c r="JW200" s="13"/>
      <c r="JX200" s="13"/>
      <c r="JY200" s="13"/>
      <c r="JZ200" s="13"/>
      <c r="KA200" s="13"/>
      <c r="KB200" s="13"/>
      <c r="KC200" s="13"/>
      <c r="KD200" s="13"/>
      <c r="KE200" s="13"/>
      <c r="KF200" s="13"/>
      <c r="KG200" s="13"/>
      <c r="KH200" s="13"/>
      <c r="KI200" s="13"/>
      <c r="KJ200" s="13"/>
      <c r="KK200" s="13"/>
      <c r="KL200" s="13"/>
      <c r="KM200" s="13"/>
      <c r="KN200" s="13"/>
      <c r="KO200" s="13"/>
      <c r="KP200" s="13"/>
      <c r="KQ200" s="13"/>
      <c r="KR200" s="13"/>
      <c r="KS200" s="13"/>
      <c r="KT200" s="13"/>
      <c r="KU200" s="13"/>
      <c r="KV200" s="13"/>
      <c r="KW200" s="13"/>
      <c r="KX200" s="13"/>
      <c r="KY200" s="13"/>
      <c r="KZ200" s="13"/>
      <c r="LA200" s="13"/>
      <c r="LB200" s="13"/>
      <c r="LC200" s="13"/>
      <c r="LD200" s="13"/>
      <c r="LE200" s="13"/>
      <c r="LF200" s="13"/>
      <c r="LG200" s="13"/>
      <c r="LH200" s="13"/>
      <c r="LI200" s="13"/>
      <c r="LJ200" s="13"/>
      <c r="LK200" s="13"/>
      <c r="LL200" s="13"/>
      <c r="LM200" s="13"/>
      <c r="LN200" s="13"/>
      <c r="LO200" s="13"/>
      <c r="LP200" s="13"/>
      <c r="LQ200" s="13"/>
      <c r="LR200" s="13"/>
      <c r="LS200" s="13"/>
      <c r="LT200" s="13"/>
      <c r="LU200" s="13"/>
      <c r="LV200" s="13"/>
      <c r="LW200" s="13"/>
      <c r="LX200" s="13"/>
      <c r="LY200" s="13"/>
      <c r="LZ200" s="13"/>
      <c r="MA200" s="13"/>
      <c r="MB200" s="13"/>
      <c r="MC200" s="13"/>
      <c r="MD200" s="13"/>
      <c r="ME200" s="13"/>
      <c r="MF200" s="13"/>
      <c r="MG200" s="13"/>
      <c r="MH200" s="13"/>
      <c r="MI200" s="13"/>
      <c r="MJ200" s="13"/>
      <c r="MK200" s="13"/>
      <c r="ML200" s="13"/>
      <c r="MM200" s="13"/>
      <c r="MN200" s="13"/>
      <c r="MO200" s="13"/>
      <c r="MP200" s="13"/>
      <c r="MQ200" s="13"/>
      <c r="MR200" s="13"/>
      <c r="MS200" s="13"/>
      <c r="MT200" s="13"/>
      <c r="MU200" s="13"/>
      <c r="MV200" s="13"/>
      <c r="MW200" s="13"/>
      <c r="MX200" s="13"/>
      <c r="MY200" s="13"/>
      <c r="MZ200" s="13"/>
      <c r="NA200" s="13"/>
      <c r="NB200" s="13"/>
      <c r="NC200" s="13"/>
      <c r="ND200" s="13"/>
      <c r="NE200" s="13"/>
      <c r="NF200" s="13"/>
      <c r="NG200" s="13"/>
      <c r="NH200" s="13"/>
      <c r="NI200" s="13"/>
      <c r="NJ200" s="13"/>
      <c r="NK200" s="13"/>
      <c r="NL200" s="13"/>
      <c r="NM200" s="13"/>
      <c r="NN200" s="13"/>
      <c r="NO200" s="13"/>
      <c r="NP200" s="13"/>
      <c r="NQ200" s="13"/>
      <c r="NR200" s="13"/>
      <c r="NS200" s="13"/>
      <c r="NT200" s="13"/>
      <c r="NU200" s="13"/>
      <c r="NV200" s="13"/>
      <c r="NW200" s="13"/>
      <c r="NX200" s="13"/>
      <c r="NY200" s="13"/>
      <c r="NZ200" s="13"/>
      <c r="OA200" s="13"/>
      <c r="OB200" s="13"/>
      <c r="OC200" s="13"/>
      <c r="OD200" s="13"/>
      <c r="OE200" s="13"/>
      <c r="OF200" s="13"/>
      <c r="OG200" s="13"/>
      <c r="OH200" s="13"/>
      <c r="OI200" s="13"/>
      <c r="OJ200" s="13"/>
      <c r="OK200" s="13"/>
      <c r="OL200" s="13"/>
      <c r="OM200" s="13"/>
      <c r="ON200" s="13"/>
      <c r="OO200" s="13"/>
      <c r="OP200" s="13"/>
      <c r="OQ200" s="13"/>
      <c r="OR200" s="13"/>
      <c r="OS200" s="13"/>
      <c r="OT200" s="13"/>
      <c r="OU200" s="13"/>
      <c r="OV200" s="13"/>
      <c r="OW200" s="13"/>
      <c r="OX200" s="13"/>
      <c r="OY200" s="13"/>
      <c r="OZ200" s="13"/>
      <c r="PA200" s="13"/>
      <c r="PB200" s="13"/>
      <c r="PC200" s="13"/>
      <c r="PD200" s="13"/>
      <c r="PE200" s="13"/>
      <c r="PF200" s="13"/>
      <c r="PG200" s="13"/>
      <c r="PH200" s="13"/>
      <c r="PI200" s="13"/>
      <c r="PJ200" s="13"/>
      <c r="PK200" s="13"/>
      <c r="PL200" s="13"/>
      <c r="PM200" s="13"/>
      <c r="PN200" s="13"/>
      <c r="PO200" s="13"/>
      <c r="PP200" s="13"/>
      <c r="PQ200" s="13"/>
      <c r="PR200" s="13"/>
      <c r="PS200" s="13"/>
      <c r="PT200" s="13"/>
      <c r="PU200" s="13"/>
      <c r="PV200" s="13"/>
      <c r="PW200" s="13"/>
      <c r="PX200" s="13"/>
      <c r="PY200" s="13"/>
      <c r="PZ200" s="13"/>
      <c r="QA200" s="13"/>
      <c r="QB200" s="13"/>
      <c r="QC200" s="13"/>
      <c r="QD200" s="13"/>
      <c r="QE200" s="13"/>
      <c r="QF200" s="13"/>
      <c r="QG200" s="13"/>
      <c r="QH200" s="13"/>
      <c r="QI200" s="13"/>
      <c r="QJ200" s="13"/>
      <c r="QK200" s="13"/>
      <c r="QL200" s="13"/>
      <c r="QM200" s="13"/>
      <c r="QN200" s="13"/>
      <c r="QO200" s="13"/>
      <c r="QP200" s="13"/>
      <c r="QQ200" s="13"/>
      <c r="QR200" s="13"/>
      <c r="QS200" s="13"/>
      <c r="QT200" s="13"/>
      <c r="QU200" s="13"/>
      <c r="QV200" s="13"/>
      <c r="QW200" s="13"/>
      <c r="QX200" s="13"/>
      <c r="QY200" s="13"/>
      <c r="QZ200" s="13"/>
      <c r="RA200" s="13"/>
      <c r="RB200" s="13"/>
      <c r="RC200" s="13"/>
      <c r="RD200" s="13"/>
      <c r="RE200" s="13"/>
      <c r="RF200" s="13"/>
      <c r="RG200" s="13"/>
      <c r="RH200" s="13"/>
      <c r="RI200" s="13"/>
      <c r="RJ200" s="13"/>
      <c r="RK200" s="13"/>
      <c r="RL200" s="13"/>
      <c r="RM200" s="13"/>
      <c r="RN200" s="13"/>
      <c r="RO200" s="13"/>
      <c r="RP200" s="13"/>
      <c r="RQ200" s="13"/>
      <c r="RR200" s="13"/>
      <c r="RS200" s="13"/>
      <c r="RT200" s="13"/>
      <c r="RU200" s="13"/>
      <c r="RV200" s="13"/>
      <c r="RW200" s="13"/>
      <c r="RX200" s="13"/>
      <c r="RY200" s="13"/>
      <c r="RZ200" s="13"/>
      <c r="SA200" s="13"/>
      <c r="SB200" s="13"/>
      <c r="SC200" s="13"/>
      <c r="SD200" s="13"/>
      <c r="SE200" s="13"/>
      <c r="SF200" s="13"/>
      <c r="SG200" s="13"/>
      <c r="SH200" s="13"/>
      <c r="SI200" s="13"/>
      <c r="SJ200" s="13"/>
      <c r="SK200" s="13"/>
      <c r="SL200" s="13"/>
      <c r="SM200" s="13"/>
      <c r="SN200" s="13"/>
      <c r="SO200" s="13"/>
      <c r="SP200" s="13"/>
      <c r="SQ200" s="13"/>
      <c r="SR200" s="13"/>
      <c r="SS200" s="13"/>
      <c r="ST200" s="13"/>
      <c r="SU200" s="13"/>
      <c r="SV200" s="13"/>
      <c r="SW200" s="13"/>
      <c r="SX200" s="13"/>
      <c r="SY200" s="13"/>
      <c r="SZ200" s="13"/>
      <c r="TA200" s="13"/>
      <c r="TB200" s="13"/>
      <c r="TC200" s="13"/>
      <c r="TD200" s="13"/>
      <c r="TE200" s="13"/>
      <c r="TF200" s="13"/>
      <c r="TG200" s="13"/>
      <c r="TH200" s="13"/>
      <c r="TI200" s="13"/>
      <c r="TJ200" s="13"/>
      <c r="TK200" s="13"/>
      <c r="TL200" s="13"/>
      <c r="TM200" s="13"/>
      <c r="TN200" s="13"/>
      <c r="TO200" s="13"/>
      <c r="TP200" s="13"/>
      <c r="TQ200" s="13"/>
      <c r="TR200" s="13"/>
      <c r="TS200" s="13"/>
      <c r="TT200" s="13"/>
      <c r="TU200" s="13"/>
      <c r="TV200" s="13"/>
      <c r="TW200" s="13"/>
      <c r="TX200" s="13"/>
      <c r="TY200" s="13"/>
      <c r="TZ200" s="13"/>
      <c r="UA200" s="13"/>
      <c r="UB200" s="13"/>
      <c r="UC200" s="13"/>
      <c r="UD200" s="13"/>
      <c r="UE200" s="13"/>
      <c r="UF200" s="13"/>
      <c r="UG200" s="13"/>
      <c r="UH200" s="13"/>
      <c r="UI200" s="13"/>
      <c r="UJ200" s="13"/>
      <c r="UK200" s="13"/>
      <c r="UL200" s="13"/>
      <c r="UM200" s="13"/>
      <c r="UN200" s="13"/>
      <c r="UO200" s="13"/>
      <c r="UP200" s="13"/>
      <c r="UQ200" s="13"/>
      <c r="UR200" s="13"/>
      <c r="US200" s="13"/>
      <c r="UT200" s="13"/>
      <c r="UU200" s="13"/>
      <c r="UV200" s="13"/>
      <c r="UW200" s="13"/>
      <c r="UX200" s="13"/>
      <c r="UY200" s="13"/>
      <c r="UZ200" s="13"/>
      <c r="VA200" s="13"/>
      <c r="VB200" s="13"/>
      <c r="VC200" s="13"/>
      <c r="VD200" s="13"/>
      <c r="VE200" s="13"/>
      <c r="VF200" s="13"/>
      <c r="VG200" s="13"/>
      <c r="VH200" s="13"/>
      <c r="VI200" s="13"/>
      <c r="VJ200" s="13"/>
      <c r="VK200" s="13"/>
      <c r="VL200" s="13"/>
      <c r="VM200" s="13"/>
      <c r="VN200" s="13"/>
      <c r="VO200" s="13"/>
      <c r="VP200" s="13"/>
      <c r="VQ200" s="13"/>
      <c r="VR200" s="13"/>
      <c r="VS200" s="13"/>
      <c r="VT200" s="13"/>
    </row>
    <row r="201" spans="1:592" s="27" customFormat="1" x14ac:dyDescent="0.2">
      <c r="A201" s="10" t="s">
        <v>439</v>
      </c>
      <c r="B201" s="11">
        <v>44990901</v>
      </c>
      <c r="C201" s="11" t="s">
        <v>288</v>
      </c>
      <c r="D201" s="11">
        <v>4441304</v>
      </c>
      <c r="E201" s="228" t="s">
        <v>331</v>
      </c>
      <c r="F201" s="192" t="s">
        <v>294</v>
      </c>
      <c r="G201" s="201" t="str">
        <f>IFERROR(VLOOKUP(D201,List1!$A$5:$B$227,2,FALSE),"0")</f>
        <v>0</v>
      </c>
      <c r="H201" s="41" t="str">
        <f>IFERROR(VLOOKUP(D201,List1!$D$5:$E$41,2,FALSE),"0")</f>
        <v>0</v>
      </c>
      <c r="I201" s="41" t="str">
        <f>IFERROR(VLOOKUP(D201,List1!$G$5:$H$227,2,FALSE),"0")</f>
        <v>0</v>
      </c>
      <c r="J201" s="40">
        <f t="shared" si="26"/>
        <v>0</v>
      </c>
      <c r="K201" s="41" t="str">
        <f>IFERROR(VLOOKUP(D201,List1!$J$5:$K$227,2,FALSE),"0")</f>
        <v>0</v>
      </c>
      <c r="L201" s="41" t="str">
        <f>IFERROR(VLOOKUP(D201,List1!$M$5:$N$112,2,FALSE),"0")</f>
        <v>0</v>
      </c>
      <c r="M201" s="43">
        <v>0</v>
      </c>
      <c r="N201" s="80">
        <f>VLOOKUP($D$5:$D$251,List2!$A$2:$B$241,2,FALSE)</f>
        <v>0</v>
      </c>
      <c r="O201" s="80">
        <f>IFERROR(VLOOKUP($D$5:$D$260,List1!$Y$5:$Z$244,2,FALSE),0)</f>
        <v>0</v>
      </c>
      <c r="P201" s="202">
        <f>IFERROR(VLOOKUP($D$5:$D$260,List1!$AB$5:$AC$244,2,FALSE),0)</f>
        <v>0</v>
      </c>
      <c r="Q201" s="201">
        <f>IFERROR(VLOOKUP($D$5:$D$260,List1!$S$5:$T$231,2,FALSE),0)</f>
        <v>0</v>
      </c>
      <c r="R201" s="41">
        <v>0</v>
      </c>
      <c r="S201" s="41">
        <f>IFERROR(VLOOKUP($D$5:$D$260,List1!$AE$5:$AF$231,2,FALSE),0)</f>
        <v>0</v>
      </c>
      <c r="T201" s="41">
        <f t="shared" si="27"/>
        <v>0</v>
      </c>
      <c r="U201" s="41" t="str">
        <f>IFERROR(VLOOKUP(D201,List1!$P$5:$Q$110,2,FALSE),"0")</f>
        <v>0</v>
      </c>
      <c r="V201" s="41">
        <v>0</v>
      </c>
      <c r="W201" s="248">
        <v>0</v>
      </c>
      <c r="X201" s="211">
        <f t="shared" si="28"/>
        <v>0</v>
      </c>
      <c r="Y201" s="219"/>
      <c r="Z201" s="80">
        <f>IFERROR(VLOOKUP($D$5:$D$260,#REF!,3,FALSE),0)</f>
        <v>0</v>
      </c>
      <c r="AA201" s="80">
        <f>IFERROR(VLOOKUP($D$5:$D$260,#REF!,3,FALSE),0)</f>
        <v>0</v>
      </c>
      <c r="AB201" s="243">
        <v>0</v>
      </c>
      <c r="AC201" s="202">
        <f t="shared" si="29"/>
        <v>0</v>
      </c>
      <c r="AD201" s="259">
        <f t="shared" si="30"/>
        <v>0</v>
      </c>
      <c r="AE201" s="260">
        <f t="shared" si="31"/>
        <v>0</v>
      </c>
      <c r="AF201" s="260">
        <f t="shared" si="32"/>
        <v>0</v>
      </c>
      <c r="AG201" s="260">
        <f t="shared" si="33"/>
        <v>0</v>
      </c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3"/>
      <c r="IG201" s="13"/>
      <c r="IH201" s="13"/>
      <c r="II201" s="13"/>
      <c r="IJ201" s="13"/>
      <c r="IK201" s="13"/>
      <c r="IL201" s="13"/>
      <c r="IM201" s="13"/>
      <c r="IN201" s="13"/>
      <c r="IO201" s="13"/>
      <c r="IP201" s="13"/>
      <c r="IQ201" s="13"/>
      <c r="IR201" s="13"/>
      <c r="IS201" s="13"/>
      <c r="IT201" s="13"/>
      <c r="IU201" s="13"/>
      <c r="IV201" s="13"/>
      <c r="IW201" s="13"/>
      <c r="IX201" s="13"/>
      <c r="IY201" s="13"/>
      <c r="IZ201" s="13"/>
      <c r="JA201" s="13"/>
      <c r="JB201" s="13"/>
      <c r="JC201" s="13"/>
      <c r="JD201" s="13"/>
      <c r="JE201" s="13"/>
      <c r="JF201" s="13"/>
      <c r="JG201" s="13"/>
      <c r="JH201" s="13"/>
      <c r="JI201" s="13"/>
      <c r="JJ201" s="13"/>
      <c r="JK201" s="13"/>
      <c r="JL201" s="13"/>
      <c r="JM201" s="13"/>
      <c r="JN201" s="13"/>
      <c r="JO201" s="13"/>
      <c r="JP201" s="13"/>
      <c r="JQ201" s="13"/>
      <c r="JR201" s="13"/>
      <c r="JS201" s="13"/>
      <c r="JT201" s="13"/>
      <c r="JU201" s="13"/>
      <c r="JV201" s="13"/>
      <c r="JW201" s="13"/>
      <c r="JX201" s="13"/>
      <c r="JY201" s="13"/>
      <c r="JZ201" s="13"/>
      <c r="KA201" s="13"/>
      <c r="KB201" s="13"/>
      <c r="KC201" s="13"/>
      <c r="KD201" s="13"/>
      <c r="KE201" s="13"/>
      <c r="KF201" s="13"/>
      <c r="KG201" s="13"/>
      <c r="KH201" s="13"/>
      <c r="KI201" s="13"/>
      <c r="KJ201" s="13"/>
      <c r="KK201" s="13"/>
      <c r="KL201" s="13"/>
      <c r="KM201" s="13"/>
      <c r="KN201" s="13"/>
      <c r="KO201" s="13"/>
      <c r="KP201" s="13"/>
      <c r="KQ201" s="13"/>
      <c r="KR201" s="13"/>
      <c r="KS201" s="13"/>
      <c r="KT201" s="13"/>
      <c r="KU201" s="13"/>
      <c r="KV201" s="13"/>
      <c r="KW201" s="13"/>
      <c r="KX201" s="13"/>
      <c r="KY201" s="13"/>
      <c r="KZ201" s="13"/>
      <c r="LA201" s="13"/>
      <c r="LB201" s="13"/>
      <c r="LC201" s="13"/>
      <c r="LD201" s="13"/>
      <c r="LE201" s="13"/>
      <c r="LF201" s="13"/>
      <c r="LG201" s="13"/>
      <c r="LH201" s="13"/>
      <c r="LI201" s="13"/>
      <c r="LJ201" s="13"/>
      <c r="LK201" s="13"/>
      <c r="LL201" s="13"/>
      <c r="LM201" s="13"/>
      <c r="LN201" s="13"/>
      <c r="LO201" s="13"/>
      <c r="LP201" s="13"/>
      <c r="LQ201" s="13"/>
      <c r="LR201" s="13"/>
      <c r="LS201" s="13"/>
      <c r="LT201" s="13"/>
      <c r="LU201" s="13"/>
      <c r="LV201" s="13"/>
      <c r="LW201" s="13"/>
      <c r="LX201" s="13"/>
      <c r="LY201" s="13"/>
      <c r="LZ201" s="13"/>
      <c r="MA201" s="13"/>
      <c r="MB201" s="13"/>
      <c r="MC201" s="13"/>
      <c r="MD201" s="13"/>
      <c r="ME201" s="13"/>
      <c r="MF201" s="13"/>
      <c r="MG201" s="13"/>
      <c r="MH201" s="13"/>
      <c r="MI201" s="13"/>
      <c r="MJ201" s="13"/>
      <c r="MK201" s="13"/>
      <c r="ML201" s="13"/>
      <c r="MM201" s="13"/>
      <c r="MN201" s="13"/>
      <c r="MO201" s="13"/>
      <c r="MP201" s="13"/>
      <c r="MQ201" s="13"/>
      <c r="MR201" s="13"/>
      <c r="MS201" s="13"/>
      <c r="MT201" s="13"/>
      <c r="MU201" s="13"/>
      <c r="MV201" s="13"/>
      <c r="MW201" s="13"/>
      <c r="MX201" s="13"/>
      <c r="MY201" s="13"/>
      <c r="MZ201" s="13"/>
      <c r="NA201" s="13"/>
      <c r="NB201" s="13"/>
      <c r="NC201" s="13"/>
      <c r="ND201" s="13"/>
      <c r="NE201" s="13"/>
      <c r="NF201" s="13"/>
      <c r="NG201" s="13"/>
      <c r="NH201" s="13"/>
      <c r="NI201" s="13"/>
      <c r="NJ201" s="13"/>
      <c r="NK201" s="13"/>
      <c r="NL201" s="13"/>
      <c r="NM201" s="13"/>
      <c r="NN201" s="13"/>
      <c r="NO201" s="13"/>
      <c r="NP201" s="13"/>
      <c r="NQ201" s="13"/>
      <c r="NR201" s="13"/>
      <c r="NS201" s="13"/>
      <c r="NT201" s="13"/>
      <c r="NU201" s="13"/>
      <c r="NV201" s="13"/>
      <c r="NW201" s="13"/>
      <c r="NX201" s="13"/>
      <c r="NY201" s="13"/>
      <c r="NZ201" s="13"/>
      <c r="OA201" s="13"/>
      <c r="OB201" s="13"/>
      <c r="OC201" s="13"/>
      <c r="OD201" s="13"/>
      <c r="OE201" s="13"/>
      <c r="OF201" s="13"/>
      <c r="OG201" s="13"/>
      <c r="OH201" s="13"/>
      <c r="OI201" s="13"/>
      <c r="OJ201" s="13"/>
      <c r="OK201" s="13"/>
      <c r="OL201" s="13"/>
      <c r="OM201" s="13"/>
      <c r="ON201" s="13"/>
      <c r="OO201" s="13"/>
      <c r="OP201" s="13"/>
      <c r="OQ201" s="13"/>
      <c r="OR201" s="13"/>
      <c r="OS201" s="13"/>
      <c r="OT201" s="13"/>
      <c r="OU201" s="13"/>
      <c r="OV201" s="13"/>
      <c r="OW201" s="13"/>
      <c r="OX201" s="13"/>
      <c r="OY201" s="13"/>
      <c r="OZ201" s="13"/>
      <c r="PA201" s="13"/>
      <c r="PB201" s="13"/>
      <c r="PC201" s="13"/>
      <c r="PD201" s="13"/>
      <c r="PE201" s="13"/>
      <c r="PF201" s="13"/>
      <c r="PG201" s="13"/>
      <c r="PH201" s="13"/>
      <c r="PI201" s="13"/>
      <c r="PJ201" s="13"/>
      <c r="PK201" s="13"/>
      <c r="PL201" s="13"/>
      <c r="PM201" s="13"/>
      <c r="PN201" s="13"/>
      <c r="PO201" s="13"/>
      <c r="PP201" s="13"/>
      <c r="PQ201" s="13"/>
      <c r="PR201" s="13"/>
      <c r="PS201" s="13"/>
      <c r="PT201" s="13"/>
      <c r="PU201" s="13"/>
      <c r="PV201" s="13"/>
      <c r="PW201" s="13"/>
      <c r="PX201" s="13"/>
      <c r="PY201" s="13"/>
      <c r="PZ201" s="13"/>
      <c r="QA201" s="13"/>
      <c r="QB201" s="13"/>
      <c r="QC201" s="13"/>
      <c r="QD201" s="13"/>
      <c r="QE201" s="13"/>
      <c r="QF201" s="13"/>
      <c r="QG201" s="13"/>
      <c r="QH201" s="13"/>
      <c r="QI201" s="13"/>
      <c r="QJ201" s="13"/>
      <c r="QK201" s="13"/>
      <c r="QL201" s="13"/>
      <c r="QM201" s="13"/>
      <c r="QN201" s="13"/>
      <c r="QO201" s="13"/>
      <c r="QP201" s="13"/>
      <c r="QQ201" s="13"/>
      <c r="QR201" s="13"/>
      <c r="QS201" s="13"/>
      <c r="QT201" s="13"/>
      <c r="QU201" s="13"/>
      <c r="QV201" s="13"/>
      <c r="QW201" s="13"/>
      <c r="QX201" s="13"/>
      <c r="QY201" s="13"/>
      <c r="QZ201" s="13"/>
      <c r="RA201" s="13"/>
      <c r="RB201" s="13"/>
      <c r="RC201" s="13"/>
      <c r="RD201" s="13"/>
      <c r="RE201" s="13"/>
      <c r="RF201" s="13"/>
      <c r="RG201" s="13"/>
      <c r="RH201" s="13"/>
      <c r="RI201" s="13"/>
      <c r="RJ201" s="13"/>
      <c r="RK201" s="13"/>
      <c r="RL201" s="13"/>
      <c r="RM201" s="13"/>
      <c r="RN201" s="13"/>
      <c r="RO201" s="13"/>
      <c r="RP201" s="13"/>
      <c r="RQ201" s="13"/>
      <c r="RR201" s="13"/>
      <c r="RS201" s="13"/>
      <c r="RT201" s="13"/>
      <c r="RU201" s="13"/>
      <c r="RV201" s="13"/>
      <c r="RW201" s="13"/>
      <c r="RX201" s="13"/>
      <c r="RY201" s="13"/>
      <c r="RZ201" s="13"/>
      <c r="SA201" s="13"/>
      <c r="SB201" s="13"/>
      <c r="SC201" s="13"/>
      <c r="SD201" s="13"/>
      <c r="SE201" s="13"/>
      <c r="SF201" s="13"/>
      <c r="SG201" s="13"/>
      <c r="SH201" s="13"/>
      <c r="SI201" s="13"/>
      <c r="SJ201" s="13"/>
      <c r="SK201" s="13"/>
      <c r="SL201" s="13"/>
      <c r="SM201" s="13"/>
      <c r="SN201" s="13"/>
      <c r="SO201" s="13"/>
      <c r="SP201" s="13"/>
      <c r="SQ201" s="13"/>
      <c r="SR201" s="13"/>
      <c r="SS201" s="13"/>
      <c r="ST201" s="13"/>
      <c r="SU201" s="13"/>
      <c r="SV201" s="13"/>
      <c r="SW201" s="13"/>
      <c r="SX201" s="13"/>
      <c r="SY201" s="13"/>
      <c r="SZ201" s="13"/>
      <c r="TA201" s="13"/>
      <c r="TB201" s="13"/>
      <c r="TC201" s="13"/>
      <c r="TD201" s="13"/>
      <c r="TE201" s="13"/>
      <c r="TF201" s="13"/>
      <c r="TG201" s="13"/>
      <c r="TH201" s="13"/>
      <c r="TI201" s="13"/>
      <c r="TJ201" s="13"/>
      <c r="TK201" s="13"/>
      <c r="TL201" s="13"/>
      <c r="TM201" s="13"/>
      <c r="TN201" s="13"/>
      <c r="TO201" s="13"/>
      <c r="TP201" s="13"/>
      <c r="TQ201" s="13"/>
      <c r="TR201" s="13"/>
      <c r="TS201" s="13"/>
      <c r="TT201" s="13"/>
      <c r="TU201" s="13"/>
      <c r="TV201" s="13"/>
      <c r="TW201" s="13"/>
      <c r="TX201" s="13"/>
      <c r="TY201" s="13"/>
      <c r="TZ201" s="13"/>
      <c r="UA201" s="13"/>
      <c r="UB201" s="13"/>
      <c r="UC201" s="13"/>
      <c r="UD201" s="13"/>
      <c r="UE201" s="13"/>
      <c r="UF201" s="13"/>
      <c r="UG201" s="13"/>
      <c r="UH201" s="13"/>
      <c r="UI201" s="13"/>
      <c r="UJ201" s="13"/>
      <c r="UK201" s="13"/>
      <c r="UL201" s="13"/>
      <c r="UM201" s="13"/>
      <c r="UN201" s="13"/>
      <c r="UO201" s="13"/>
      <c r="UP201" s="13"/>
      <c r="UQ201" s="13"/>
      <c r="UR201" s="13"/>
      <c r="US201" s="13"/>
      <c r="UT201" s="13"/>
      <c r="UU201" s="13"/>
      <c r="UV201" s="13"/>
      <c r="UW201" s="13"/>
      <c r="UX201" s="13"/>
      <c r="UY201" s="13"/>
      <c r="UZ201" s="13"/>
      <c r="VA201" s="13"/>
      <c r="VB201" s="13"/>
      <c r="VC201" s="13"/>
      <c r="VD201" s="13"/>
      <c r="VE201" s="13"/>
      <c r="VF201" s="13"/>
      <c r="VG201" s="13"/>
      <c r="VH201" s="13"/>
      <c r="VI201" s="13"/>
      <c r="VJ201" s="13"/>
      <c r="VK201" s="13"/>
      <c r="VL201" s="13"/>
      <c r="VM201" s="13"/>
      <c r="VN201" s="13"/>
      <c r="VO201" s="13"/>
      <c r="VP201" s="13"/>
      <c r="VQ201" s="13"/>
      <c r="VR201" s="13"/>
      <c r="VS201" s="13"/>
      <c r="VT201" s="13"/>
    </row>
    <row r="202" spans="1:592" s="24" customFormat="1" x14ac:dyDescent="0.2">
      <c r="A202" s="10" t="s">
        <v>84</v>
      </c>
      <c r="B202" s="11">
        <v>27016781</v>
      </c>
      <c r="C202" s="11" t="s">
        <v>288</v>
      </c>
      <c r="D202" s="11">
        <v>9603734</v>
      </c>
      <c r="E202" s="225" t="s">
        <v>289</v>
      </c>
      <c r="F202" s="192" t="s">
        <v>269</v>
      </c>
      <c r="G202" s="201">
        <f>IFERROR(VLOOKUP(D202,List1!$A$5:$B$227,2,FALSE),"0")</f>
        <v>2112000</v>
      </c>
      <c r="H202" s="41" t="str">
        <f>IFERROR(VLOOKUP(D202,List1!$D$5:$E$41,2,FALSE),"0")</f>
        <v>0</v>
      </c>
      <c r="I202" s="41">
        <f>IFERROR(VLOOKUP(D202,List1!$G$5:$H$227,2,FALSE),"0")</f>
        <v>402504</v>
      </c>
      <c r="J202" s="40">
        <f t="shared" si="26"/>
        <v>2514504</v>
      </c>
      <c r="K202" s="41" t="str">
        <f>IFERROR(VLOOKUP(D202,List1!$J$5:$K$227,2,FALSE),"0")</f>
        <v>0</v>
      </c>
      <c r="L202" s="41">
        <f>IFERROR(VLOOKUP(D202,List1!$M$5:$N$112,2,FALSE),"0")</f>
        <v>36000</v>
      </c>
      <c r="M202" s="43">
        <v>0</v>
      </c>
      <c r="N202" s="80">
        <f>VLOOKUP($D$5:$D$251,List2!$A$2:$B$241,2,FALSE)</f>
        <v>101500</v>
      </c>
      <c r="O202" s="80">
        <f>IFERROR(VLOOKUP($D$5:$D$260,List1!$Y$5:$Z$244,2,FALSE),0)</f>
        <v>0</v>
      </c>
      <c r="P202" s="202">
        <f>IFERROR(VLOOKUP($D$5:$D$260,List1!$AB$5:$AC$244,2,FALSE),0)</f>
        <v>0</v>
      </c>
      <c r="Q202" s="201">
        <f>IFERROR(VLOOKUP($D$5:$D$260,List1!$S$5:$T$231,2,FALSE),0)</f>
        <v>1615467</v>
      </c>
      <c r="R202" s="41">
        <v>0</v>
      </c>
      <c r="S202" s="41">
        <f>IFERROR(VLOOKUP($D$5:$D$260,List1!$AE$5:$AF$231,2,FALSE),0)</f>
        <v>700000</v>
      </c>
      <c r="T202" s="41">
        <f t="shared" si="27"/>
        <v>2315467</v>
      </c>
      <c r="U202" s="41">
        <f>IFERROR(VLOOKUP(D202,List1!$P$5:$Q$110,2,FALSE),"0")</f>
        <v>233000</v>
      </c>
      <c r="V202" s="41">
        <v>0</v>
      </c>
      <c r="W202" s="248">
        <v>0</v>
      </c>
      <c r="X202" s="211">
        <f t="shared" si="28"/>
        <v>2548467</v>
      </c>
      <c r="Y202" s="219"/>
      <c r="Z202" s="80">
        <f>IFERROR(VLOOKUP($D$5:$D$260,#REF!,3,FALSE),0)</f>
        <v>0</v>
      </c>
      <c r="AA202" s="80">
        <f>IFERROR(VLOOKUP($D$5:$D$260,#REF!,3,FALSE),0)</f>
        <v>0</v>
      </c>
      <c r="AB202" s="243">
        <v>0</v>
      </c>
      <c r="AC202" s="202">
        <f t="shared" si="29"/>
        <v>0</v>
      </c>
      <c r="AD202" s="259">
        <f t="shared" si="30"/>
        <v>-233000</v>
      </c>
      <c r="AE202" s="260">
        <f t="shared" si="31"/>
        <v>-1</v>
      </c>
      <c r="AF202" s="260">
        <f t="shared" si="32"/>
        <v>-1</v>
      </c>
      <c r="AG202" s="260">
        <f t="shared" si="33"/>
        <v>-1</v>
      </c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  <c r="HO202" s="23"/>
      <c r="HP202" s="23"/>
      <c r="HQ202" s="23"/>
      <c r="HR202" s="23"/>
      <c r="HS202" s="23"/>
      <c r="HT202" s="23"/>
      <c r="HU202" s="23"/>
      <c r="HV202" s="23"/>
      <c r="HW202" s="23"/>
      <c r="HX202" s="23"/>
      <c r="HY202" s="23"/>
      <c r="HZ202" s="23"/>
      <c r="IA202" s="23"/>
      <c r="IB202" s="23"/>
      <c r="IC202" s="23"/>
      <c r="ID202" s="23"/>
      <c r="IE202" s="23"/>
      <c r="IF202" s="23"/>
      <c r="IG202" s="23"/>
      <c r="IH202" s="23"/>
      <c r="II202" s="23"/>
      <c r="IJ202" s="23"/>
      <c r="IK202" s="23"/>
      <c r="IL202" s="23"/>
      <c r="IM202" s="23"/>
      <c r="IN202" s="23"/>
      <c r="IO202" s="23"/>
      <c r="IP202" s="23"/>
      <c r="IQ202" s="23"/>
      <c r="IR202" s="23"/>
      <c r="IS202" s="23"/>
      <c r="IT202" s="23"/>
      <c r="IU202" s="23"/>
      <c r="IV202" s="23"/>
      <c r="IW202" s="23"/>
      <c r="IX202" s="23"/>
      <c r="IY202" s="23"/>
      <c r="IZ202" s="23"/>
      <c r="JA202" s="23"/>
      <c r="JB202" s="23"/>
      <c r="JC202" s="23"/>
      <c r="JD202" s="23"/>
      <c r="JE202" s="23"/>
      <c r="JF202" s="23"/>
      <c r="JG202" s="23"/>
      <c r="JH202" s="23"/>
      <c r="JI202" s="23"/>
      <c r="JJ202" s="23"/>
      <c r="JK202" s="23"/>
      <c r="JL202" s="23"/>
      <c r="JM202" s="23"/>
      <c r="JN202" s="23"/>
      <c r="JO202" s="23"/>
      <c r="JP202" s="23"/>
      <c r="JQ202" s="23"/>
      <c r="JR202" s="23"/>
      <c r="JS202" s="23"/>
      <c r="JT202" s="23"/>
      <c r="JU202" s="23"/>
      <c r="JV202" s="23"/>
      <c r="JW202" s="23"/>
      <c r="JX202" s="23"/>
      <c r="JY202" s="23"/>
      <c r="JZ202" s="23"/>
      <c r="KA202" s="23"/>
      <c r="KB202" s="23"/>
      <c r="KC202" s="23"/>
      <c r="KD202" s="23"/>
      <c r="KE202" s="23"/>
      <c r="KF202" s="23"/>
      <c r="KG202" s="23"/>
      <c r="KH202" s="23"/>
      <c r="KI202" s="23"/>
      <c r="KJ202" s="23"/>
      <c r="KK202" s="23"/>
      <c r="KL202" s="23"/>
      <c r="KM202" s="23"/>
      <c r="KN202" s="23"/>
      <c r="KO202" s="23"/>
      <c r="KP202" s="23"/>
      <c r="KQ202" s="23"/>
      <c r="KR202" s="23"/>
      <c r="KS202" s="23"/>
      <c r="KT202" s="23"/>
      <c r="KU202" s="23"/>
      <c r="KV202" s="23"/>
      <c r="KW202" s="23"/>
      <c r="KX202" s="23"/>
      <c r="KY202" s="23"/>
      <c r="KZ202" s="23"/>
      <c r="LA202" s="23"/>
      <c r="LB202" s="23"/>
      <c r="LC202" s="23"/>
      <c r="LD202" s="23"/>
      <c r="LE202" s="23"/>
      <c r="LF202" s="23"/>
      <c r="LG202" s="23"/>
      <c r="LH202" s="23"/>
      <c r="LI202" s="23"/>
      <c r="LJ202" s="23"/>
      <c r="LK202" s="23"/>
      <c r="LL202" s="23"/>
      <c r="LM202" s="23"/>
      <c r="LN202" s="23"/>
      <c r="LO202" s="23"/>
      <c r="LP202" s="23"/>
      <c r="LQ202" s="23"/>
      <c r="LR202" s="23"/>
      <c r="LS202" s="23"/>
      <c r="LT202" s="23"/>
      <c r="LU202" s="23"/>
      <c r="LV202" s="23"/>
      <c r="LW202" s="23"/>
      <c r="LX202" s="23"/>
      <c r="LY202" s="23"/>
      <c r="LZ202" s="23"/>
      <c r="MA202" s="23"/>
      <c r="MB202" s="23"/>
      <c r="MC202" s="23"/>
      <c r="MD202" s="23"/>
      <c r="ME202" s="23"/>
      <c r="MF202" s="23"/>
      <c r="MG202" s="23"/>
      <c r="MH202" s="23"/>
      <c r="MI202" s="23"/>
      <c r="MJ202" s="23"/>
      <c r="MK202" s="23"/>
      <c r="ML202" s="23"/>
      <c r="MM202" s="23"/>
      <c r="MN202" s="23"/>
      <c r="MO202" s="23"/>
      <c r="MP202" s="23"/>
      <c r="MQ202" s="23"/>
      <c r="MR202" s="23"/>
      <c r="MS202" s="23"/>
      <c r="MT202" s="23"/>
      <c r="MU202" s="23"/>
      <c r="MV202" s="23"/>
      <c r="MW202" s="23"/>
      <c r="MX202" s="23"/>
      <c r="MY202" s="23"/>
      <c r="MZ202" s="23"/>
      <c r="NA202" s="23"/>
      <c r="NB202" s="23"/>
      <c r="NC202" s="23"/>
      <c r="ND202" s="23"/>
      <c r="NE202" s="23"/>
      <c r="NF202" s="23"/>
      <c r="NG202" s="23"/>
      <c r="NH202" s="23"/>
      <c r="NI202" s="23"/>
      <c r="NJ202" s="23"/>
      <c r="NK202" s="23"/>
      <c r="NL202" s="23"/>
      <c r="NM202" s="23"/>
      <c r="NN202" s="23"/>
      <c r="NO202" s="23"/>
      <c r="NP202" s="23"/>
      <c r="NQ202" s="23"/>
      <c r="NR202" s="23"/>
      <c r="NS202" s="23"/>
      <c r="NT202" s="23"/>
      <c r="NU202" s="23"/>
      <c r="NV202" s="23"/>
      <c r="NW202" s="23"/>
      <c r="NX202" s="23"/>
      <c r="NY202" s="23"/>
      <c r="NZ202" s="23"/>
      <c r="OA202" s="23"/>
      <c r="OB202" s="23"/>
      <c r="OC202" s="23"/>
      <c r="OD202" s="23"/>
      <c r="OE202" s="23"/>
      <c r="OF202" s="23"/>
      <c r="OG202" s="23"/>
      <c r="OH202" s="23"/>
      <c r="OI202" s="23"/>
      <c r="OJ202" s="23"/>
      <c r="OK202" s="23"/>
      <c r="OL202" s="23"/>
      <c r="OM202" s="23"/>
      <c r="ON202" s="23"/>
      <c r="OO202" s="23"/>
      <c r="OP202" s="23"/>
      <c r="OQ202" s="23"/>
      <c r="OR202" s="23"/>
      <c r="OS202" s="23"/>
      <c r="OT202" s="23"/>
      <c r="OU202" s="23"/>
      <c r="OV202" s="23"/>
      <c r="OW202" s="23"/>
      <c r="OX202" s="23"/>
      <c r="OY202" s="23"/>
      <c r="OZ202" s="23"/>
      <c r="PA202" s="23"/>
      <c r="PB202" s="23"/>
      <c r="PC202" s="23"/>
      <c r="PD202" s="23"/>
      <c r="PE202" s="23"/>
      <c r="PF202" s="23"/>
      <c r="PG202" s="23"/>
      <c r="PH202" s="23"/>
      <c r="PI202" s="23"/>
      <c r="PJ202" s="23"/>
      <c r="PK202" s="23"/>
      <c r="PL202" s="23"/>
      <c r="PM202" s="23"/>
      <c r="PN202" s="23"/>
      <c r="PO202" s="23"/>
      <c r="PP202" s="23"/>
      <c r="PQ202" s="23"/>
      <c r="PR202" s="23"/>
      <c r="PS202" s="23"/>
      <c r="PT202" s="23"/>
      <c r="PU202" s="23"/>
      <c r="PV202" s="23"/>
      <c r="PW202" s="23"/>
      <c r="PX202" s="23"/>
      <c r="PY202" s="23"/>
      <c r="PZ202" s="23"/>
      <c r="QA202" s="23"/>
      <c r="QB202" s="23"/>
      <c r="QC202" s="23"/>
      <c r="QD202" s="23"/>
      <c r="QE202" s="23"/>
      <c r="QF202" s="23"/>
      <c r="QG202" s="23"/>
      <c r="QH202" s="23"/>
      <c r="QI202" s="23"/>
      <c r="QJ202" s="23"/>
      <c r="QK202" s="23"/>
      <c r="QL202" s="23"/>
      <c r="QM202" s="23"/>
      <c r="QN202" s="23"/>
      <c r="QO202" s="23"/>
      <c r="QP202" s="23"/>
      <c r="QQ202" s="23"/>
      <c r="QR202" s="23"/>
      <c r="QS202" s="23"/>
      <c r="QT202" s="23"/>
      <c r="QU202" s="23"/>
      <c r="QV202" s="23"/>
      <c r="QW202" s="23"/>
      <c r="QX202" s="23"/>
      <c r="QY202" s="23"/>
      <c r="QZ202" s="23"/>
      <c r="RA202" s="23"/>
      <c r="RB202" s="23"/>
      <c r="RC202" s="23"/>
      <c r="RD202" s="23"/>
      <c r="RE202" s="23"/>
      <c r="RF202" s="23"/>
      <c r="RG202" s="23"/>
      <c r="RH202" s="23"/>
      <c r="RI202" s="23"/>
      <c r="RJ202" s="23"/>
      <c r="RK202" s="23"/>
      <c r="RL202" s="23"/>
      <c r="RM202" s="23"/>
      <c r="RN202" s="23"/>
      <c r="RO202" s="23"/>
      <c r="RP202" s="23"/>
      <c r="RQ202" s="23"/>
      <c r="RR202" s="23"/>
      <c r="RS202" s="23"/>
      <c r="RT202" s="23"/>
      <c r="RU202" s="23"/>
      <c r="RV202" s="23"/>
      <c r="RW202" s="23"/>
      <c r="RX202" s="23"/>
      <c r="RY202" s="23"/>
      <c r="RZ202" s="23"/>
      <c r="SA202" s="23"/>
      <c r="SB202" s="23"/>
      <c r="SC202" s="23"/>
      <c r="SD202" s="23"/>
      <c r="SE202" s="23"/>
      <c r="SF202" s="23"/>
      <c r="SG202" s="23"/>
      <c r="SH202" s="23"/>
      <c r="SI202" s="23"/>
      <c r="SJ202" s="23"/>
      <c r="SK202" s="23"/>
      <c r="SL202" s="23"/>
      <c r="SM202" s="23"/>
      <c r="SN202" s="23"/>
      <c r="SO202" s="23"/>
      <c r="SP202" s="23"/>
      <c r="SQ202" s="23"/>
      <c r="SR202" s="23"/>
      <c r="SS202" s="23"/>
      <c r="ST202" s="23"/>
      <c r="SU202" s="23"/>
      <c r="SV202" s="23"/>
      <c r="SW202" s="23"/>
      <c r="SX202" s="23"/>
      <c r="SY202" s="23"/>
      <c r="SZ202" s="23"/>
      <c r="TA202" s="23"/>
      <c r="TB202" s="23"/>
      <c r="TC202" s="23"/>
      <c r="TD202" s="23"/>
      <c r="TE202" s="23"/>
      <c r="TF202" s="23"/>
      <c r="TG202" s="23"/>
      <c r="TH202" s="23"/>
      <c r="TI202" s="23"/>
      <c r="TJ202" s="23"/>
      <c r="TK202" s="23"/>
      <c r="TL202" s="23"/>
      <c r="TM202" s="23"/>
      <c r="TN202" s="23"/>
      <c r="TO202" s="23"/>
      <c r="TP202" s="23"/>
      <c r="TQ202" s="23"/>
      <c r="TR202" s="23"/>
      <c r="TS202" s="23"/>
      <c r="TT202" s="23"/>
      <c r="TU202" s="23"/>
      <c r="TV202" s="23"/>
      <c r="TW202" s="23"/>
      <c r="TX202" s="23"/>
      <c r="TY202" s="23"/>
      <c r="TZ202" s="23"/>
      <c r="UA202" s="23"/>
      <c r="UB202" s="23"/>
      <c r="UC202" s="23"/>
      <c r="UD202" s="23"/>
      <c r="UE202" s="23"/>
      <c r="UF202" s="23"/>
      <c r="UG202" s="23"/>
      <c r="UH202" s="23"/>
      <c r="UI202" s="23"/>
      <c r="UJ202" s="23"/>
      <c r="UK202" s="23"/>
      <c r="UL202" s="23"/>
      <c r="UM202" s="23"/>
      <c r="UN202" s="23"/>
      <c r="UO202" s="23"/>
      <c r="UP202" s="23"/>
      <c r="UQ202" s="23"/>
      <c r="UR202" s="23"/>
      <c r="US202" s="23"/>
      <c r="UT202" s="23"/>
      <c r="UU202" s="23"/>
      <c r="UV202" s="23"/>
      <c r="UW202" s="23"/>
      <c r="UX202" s="23"/>
      <c r="UY202" s="23"/>
      <c r="UZ202" s="23"/>
      <c r="VA202" s="23"/>
      <c r="VB202" s="23"/>
      <c r="VC202" s="23"/>
      <c r="VD202" s="23"/>
      <c r="VE202" s="23"/>
      <c r="VF202" s="23"/>
      <c r="VG202" s="23"/>
      <c r="VH202" s="23"/>
      <c r="VI202" s="23"/>
      <c r="VJ202" s="23"/>
      <c r="VK202" s="23"/>
      <c r="VL202" s="23"/>
      <c r="VM202" s="23"/>
      <c r="VN202" s="23"/>
      <c r="VO202" s="23"/>
      <c r="VP202" s="23"/>
      <c r="VQ202" s="23"/>
      <c r="VR202" s="23"/>
      <c r="VS202" s="23"/>
      <c r="VT202" s="23"/>
    </row>
    <row r="203" spans="1:592" s="13" customFormat="1" ht="31.5" x14ac:dyDescent="0.2">
      <c r="A203" s="10" t="s">
        <v>105</v>
      </c>
      <c r="B203" s="11">
        <v>27322793</v>
      </c>
      <c r="C203" s="11" t="s">
        <v>318</v>
      </c>
      <c r="D203" s="11">
        <v>2527518</v>
      </c>
      <c r="E203" s="228" t="s">
        <v>343</v>
      </c>
      <c r="F203" s="192" t="s">
        <v>300</v>
      </c>
      <c r="G203" s="203">
        <f>IFERROR(VLOOKUP(D203,List1!$A$5:$B$227,2,FALSE),"0")-2942741.12</f>
        <v>1888258.88</v>
      </c>
      <c r="H203" s="41">
        <f>IFERROR(VLOOKUP(D203,List1!$D$5:$E$41,2,FALSE),"0")</f>
        <v>756000</v>
      </c>
      <c r="I203" s="41">
        <f>IFERROR(VLOOKUP(D203,List1!$G$5:$H$227,2,FALSE),"0")</f>
        <v>0</v>
      </c>
      <c r="J203" s="40">
        <f t="shared" si="26"/>
        <v>2644258.88</v>
      </c>
      <c r="K203" s="41">
        <f>IFERROR(VLOOKUP(D203,List1!$J$5:$K$227,2,FALSE),"0")</f>
        <v>254000</v>
      </c>
      <c r="L203" s="41" t="str">
        <f>IFERROR(VLOOKUP(D203,List1!$M$5:$N$112,2,FALSE),"0")</f>
        <v>0</v>
      </c>
      <c r="M203" s="43">
        <v>4615548</v>
      </c>
      <c r="N203" s="80">
        <f>VLOOKUP($D$5:$D$251,List2!$A$2:$B$241,2,FALSE)</f>
        <v>441025</v>
      </c>
      <c r="O203" s="80">
        <f>IFERROR(VLOOKUP($D$5:$D$260,List1!$Y$5:$Z$244,2,FALSE),0)</f>
        <v>0</v>
      </c>
      <c r="P203" s="202">
        <f>IFERROR(VLOOKUP($D$5:$D$260,List1!$AB$5:$AC$244,2,FALSE),0)</f>
        <v>0</v>
      </c>
      <c r="Q203" s="201">
        <f>IFERROR(VLOOKUP($D$5:$D$260,List1!$S$5:$T$231,2,FALSE),0)</f>
        <v>4747632</v>
      </c>
      <c r="R203" s="41">
        <v>0</v>
      </c>
      <c r="S203" s="41">
        <f>IFERROR(VLOOKUP($D$5:$D$260,List1!$AE$5:$AF$231,2,FALSE),0)</f>
        <v>1400000</v>
      </c>
      <c r="T203" s="41">
        <f t="shared" si="27"/>
        <v>6147632</v>
      </c>
      <c r="U203" s="41">
        <f>IFERROR(VLOOKUP(D203,List1!$P$5:$Q$110,2,FALSE),"0")</f>
        <v>490000</v>
      </c>
      <c r="V203" s="41">
        <v>0</v>
      </c>
      <c r="W203" s="248">
        <v>0</v>
      </c>
      <c r="X203" s="211">
        <f t="shared" si="28"/>
        <v>6637632</v>
      </c>
      <c r="Y203" s="219"/>
      <c r="Z203" s="80">
        <f>IFERROR(VLOOKUP($D$5:$D$260,#REF!,3,FALSE),0)</f>
        <v>0</v>
      </c>
      <c r="AA203" s="80">
        <f>IFERROR(VLOOKUP($D$5:$D$260,#REF!,3,FALSE),0)</f>
        <v>0</v>
      </c>
      <c r="AB203" s="243">
        <v>0</v>
      </c>
      <c r="AC203" s="202">
        <f t="shared" si="29"/>
        <v>0</v>
      </c>
      <c r="AD203" s="259">
        <f t="shared" si="30"/>
        <v>-490000</v>
      </c>
      <c r="AE203" s="260">
        <f t="shared" si="31"/>
        <v>-1</v>
      </c>
      <c r="AF203" s="260">
        <f t="shared" si="32"/>
        <v>-1</v>
      </c>
      <c r="AG203" s="260">
        <f t="shared" si="33"/>
        <v>-1</v>
      </c>
    </row>
    <row r="204" spans="1:592" s="13" customFormat="1" ht="31.5" x14ac:dyDescent="0.2">
      <c r="A204" s="10" t="s">
        <v>440</v>
      </c>
      <c r="B204" s="11">
        <v>22796932</v>
      </c>
      <c r="C204" s="11" t="s">
        <v>318</v>
      </c>
      <c r="D204" s="11">
        <v>6877163</v>
      </c>
      <c r="E204" s="228" t="s">
        <v>330</v>
      </c>
      <c r="F204" s="192" t="s">
        <v>269</v>
      </c>
      <c r="G204" s="201" t="str">
        <f>IFERROR(VLOOKUP(D204,List1!$A$5:$B$227,2,FALSE),"0")</f>
        <v>0</v>
      </c>
      <c r="H204" s="41" t="str">
        <f>IFERROR(VLOOKUP(D204,List1!$D$5:$E$41,2,FALSE),"0")</f>
        <v>0</v>
      </c>
      <c r="I204" s="41" t="str">
        <f>IFERROR(VLOOKUP(D204,List1!$G$5:$H$227,2,FALSE),"0")</f>
        <v>0</v>
      </c>
      <c r="J204" s="40">
        <f t="shared" si="26"/>
        <v>0</v>
      </c>
      <c r="K204" s="41">
        <f>IFERROR(VLOOKUP(D204,List1!$J$5:$K$227,2,FALSE),"0")</f>
        <v>51000</v>
      </c>
      <c r="L204" s="41" t="str">
        <f>IFERROR(VLOOKUP(D204,List1!$M$5:$N$112,2,FALSE),"0")</f>
        <v>0</v>
      </c>
      <c r="M204" s="43">
        <v>0</v>
      </c>
      <c r="N204" s="80">
        <v>0</v>
      </c>
      <c r="O204" s="80">
        <f>IFERROR(VLOOKUP($D$5:$D$260,List1!$Y$5:$Z$244,2,FALSE),0)</f>
        <v>0</v>
      </c>
      <c r="P204" s="202">
        <f>IFERROR(VLOOKUP($D$5:$D$260,List1!$AB$5:$AC$244,2,FALSE),0)</f>
        <v>0</v>
      </c>
      <c r="Q204" s="201">
        <f>IFERROR(VLOOKUP($D$5:$D$260,List1!$S$5:$T$231,2,FALSE),0)</f>
        <v>0</v>
      </c>
      <c r="R204" s="41">
        <v>0</v>
      </c>
      <c r="S204" s="41">
        <f>IFERROR(VLOOKUP($D$5:$D$260,List1!$AE$5:$AF$231,2,FALSE),0)</f>
        <v>0</v>
      </c>
      <c r="T204" s="41">
        <f t="shared" si="27"/>
        <v>0</v>
      </c>
      <c r="U204" s="41" t="str">
        <f>IFERROR(VLOOKUP(D204,List1!$P$5:$Q$110,2,FALSE),"0")</f>
        <v>0</v>
      </c>
      <c r="V204" s="41">
        <v>0</v>
      </c>
      <c r="W204" s="248">
        <v>0</v>
      </c>
      <c r="X204" s="211">
        <f t="shared" si="28"/>
        <v>0</v>
      </c>
      <c r="Y204" s="219"/>
      <c r="Z204" s="80">
        <f>IFERROR(VLOOKUP($D$5:$D$260,#REF!,3,FALSE),0)</f>
        <v>0</v>
      </c>
      <c r="AA204" s="80">
        <f>IFERROR(VLOOKUP($D$5:$D$260,#REF!,3,FALSE),0)</f>
        <v>0</v>
      </c>
      <c r="AB204" s="243">
        <v>0</v>
      </c>
      <c r="AC204" s="202">
        <f t="shared" si="29"/>
        <v>0</v>
      </c>
      <c r="AD204" s="259">
        <f t="shared" si="30"/>
        <v>0</v>
      </c>
      <c r="AE204" s="260">
        <f t="shared" si="31"/>
        <v>0</v>
      </c>
      <c r="AF204" s="260">
        <f t="shared" si="32"/>
        <v>0</v>
      </c>
      <c r="AG204" s="260">
        <f t="shared" si="33"/>
        <v>0</v>
      </c>
    </row>
    <row r="205" spans="1:592" s="13" customFormat="1" ht="31.5" x14ac:dyDescent="0.2">
      <c r="A205" s="10" t="s">
        <v>441</v>
      </c>
      <c r="B205" s="11">
        <v>25049313</v>
      </c>
      <c r="C205" s="11" t="s">
        <v>302</v>
      </c>
      <c r="D205" s="11">
        <v>7455227</v>
      </c>
      <c r="E205" s="228" t="s">
        <v>343</v>
      </c>
      <c r="F205" s="192" t="s">
        <v>269</v>
      </c>
      <c r="G205" s="201" t="str">
        <f>IFERROR(VLOOKUP(D205,List1!$A$5:$B$227,2,FALSE),"0")</f>
        <v>0</v>
      </c>
      <c r="H205" s="41" t="str">
        <f>IFERROR(VLOOKUP(D205,List1!$D$5:$E$41,2,FALSE),"0")</f>
        <v>0</v>
      </c>
      <c r="I205" s="41" t="str">
        <f>IFERROR(VLOOKUP(D205,List1!$G$5:$H$227,2,FALSE),"0")</f>
        <v>0</v>
      </c>
      <c r="J205" s="40">
        <f t="shared" si="26"/>
        <v>0</v>
      </c>
      <c r="K205" s="41">
        <f>IFERROR(VLOOKUP(D205,List1!$J$5:$K$227,2,FALSE),"0")</f>
        <v>11000</v>
      </c>
      <c r="L205" s="41" t="str">
        <f>IFERROR(VLOOKUP(D205,List1!$M$5:$N$112,2,FALSE),"0")</f>
        <v>0</v>
      </c>
      <c r="M205" s="43">
        <v>0</v>
      </c>
      <c r="N205" s="80">
        <f>VLOOKUP($D$5:$D$251,List2!$A$2:$B$241,2,FALSE)</f>
        <v>47677</v>
      </c>
      <c r="O205" s="80">
        <f>IFERROR(VLOOKUP($D$5:$D$260,List1!$Y$5:$Z$244,2,FALSE),0)</f>
        <v>0</v>
      </c>
      <c r="P205" s="202">
        <f>IFERROR(VLOOKUP($D$5:$D$260,List1!$AB$5:$AC$244,2,FALSE),0)</f>
        <v>0</v>
      </c>
      <c r="Q205" s="201">
        <f>IFERROR(VLOOKUP($D$5:$D$260,List1!$S$5:$T$231,2,FALSE),0)</f>
        <v>0</v>
      </c>
      <c r="R205" s="41">
        <v>0</v>
      </c>
      <c r="S205" s="41">
        <f>IFERROR(VLOOKUP($D$5:$D$260,List1!$AE$5:$AF$231,2,FALSE),0)</f>
        <v>0</v>
      </c>
      <c r="T205" s="41">
        <f t="shared" si="27"/>
        <v>0</v>
      </c>
      <c r="U205" s="41" t="str">
        <f>IFERROR(VLOOKUP(D205,List1!$P$5:$Q$110,2,FALSE),"0")</f>
        <v>0</v>
      </c>
      <c r="V205" s="41">
        <v>0</v>
      </c>
      <c r="W205" s="248">
        <v>0</v>
      </c>
      <c r="X205" s="211">
        <f t="shared" si="28"/>
        <v>0</v>
      </c>
      <c r="Y205" s="219"/>
      <c r="Z205" s="80">
        <f>IFERROR(VLOOKUP($D$5:$D$260,#REF!,3,FALSE),0)</f>
        <v>0</v>
      </c>
      <c r="AA205" s="80">
        <f>IFERROR(VLOOKUP($D$5:$D$260,#REF!,3,FALSE),0)</f>
        <v>0</v>
      </c>
      <c r="AB205" s="243">
        <v>0</v>
      </c>
      <c r="AC205" s="202">
        <f t="shared" si="29"/>
        <v>0</v>
      </c>
      <c r="AD205" s="259">
        <f t="shared" si="30"/>
        <v>0</v>
      </c>
      <c r="AE205" s="260">
        <f t="shared" si="31"/>
        <v>0</v>
      </c>
      <c r="AF205" s="260">
        <f t="shared" si="32"/>
        <v>0</v>
      </c>
      <c r="AG205" s="260">
        <f t="shared" si="33"/>
        <v>0</v>
      </c>
    </row>
    <row r="206" spans="1:592" s="13" customFormat="1" ht="31.5" x14ac:dyDescent="0.2">
      <c r="A206" s="10" t="s">
        <v>488</v>
      </c>
      <c r="B206" s="15" t="s">
        <v>443</v>
      </c>
      <c r="C206" s="11" t="s">
        <v>318</v>
      </c>
      <c r="D206" s="11">
        <v>9072226</v>
      </c>
      <c r="E206" s="228" t="s">
        <v>308</v>
      </c>
      <c r="F206" s="192" t="s">
        <v>300</v>
      </c>
      <c r="G206" s="201">
        <f>IFERROR(VLOOKUP(D206,List1!$A$5:$B$227,2,FALSE),"0")</f>
        <v>1098000</v>
      </c>
      <c r="H206" s="41" t="str">
        <f>IFERROR(VLOOKUP(D206,List1!$D$5:$E$41,2,FALSE),"0")</f>
        <v>0</v>
      </c>
      <c r="I206" s="41" t="str">
        <f>IFERROR(VLOOKUP(D206,List1!$G$5:$H$227,2,FALSE),"0")</f>
        <v>0</v>
      </c>
      <c r="J206" s="40">
        <f t="shared" si="26"/>
        <v>1098000</v>
      </c>
      <c r="K206" s="41" t="str">
        <f>IFERROR(VLOOKUP(D206,List1!$J$5:$K$227,2,FALSE),"0")</f>
        <v>0</v>
      </c>
      <c r="L206" s="41">
        <f>IFERROR(VLOOKUP(D206,List1!$M$5:$N$112,2,FALSE),"0")</f>
        <v>21000</v>
      </c>
      <c r="M206" s="43">
        <v>0</v>
      </c>
      <c r="N206" s="80">
        <f>VLOOKUP($D$5:$D$251,List2!$A$2:$B$241,2,FALSE)</f>
        <v>0</v>
      </c>
      <c r="O206" s="80">
        <f>IFERROR(VLOOKUP($D$5:$D$260,List1!$Y$5:$Z$244,2,FALSE),0)</f>
        <v>0</v>
      </c>
      <c r="P206" s="202">
        <f>IFERROR(VLOOKUP($D$5:$D$260,List1!$AB$5:$AC$244,2,FALSE),0)</f>
        <v>0</v>
      </c>
      <c r="Q206" s="201">
        <f>IFERROR(VLOOKUP($D$5:$D$260,List1!$S$5:$T$231,2,FALSE),0)</f>
        <v>939434</v>
      </c>
      <c r="R206" s="41">
        <v>0</v>
      </c>
      <c r="S206" s="41">
        <f>IFERROR(VLOOKUP($D$5:$D$260,List1!$AE$5:$AF$231,2,FALSE),0)</f>
        <v>250000</v>
      </c>
      <c r="T206" s="41">
        <f t="shared" si="27"/>
        <v>1189434</v>
      </c>
      <c r="U206" s="41" t="str">
        <f>IFERROR(VLOOKUP(D206,List1!$P$5:$Q$110,2,FALSE),"0")</f>
        <v>0</v>
      </c>
      <c r="V206" s="41">
        <v>0</v>
      </c>
      <c r="W206" s="248">
        <v>0</v>
      </c>
      <c r="X206" s="211">
        <f t="shared" si="28"/>
        <v>1189434</v>
      </c>
      <c r="Y206" s="219"/>
      <c r="Z206" s="80">
        <f>IFERROR(VLOOKUP($D$5:$D$260,#REF!,3,FALSE),0)</f>
        <v>0</v>
      </c>
      <c r="AA206" s="80">
        <f>IFERROR(VLOOKUP($D$5:$D$260,#REF!,3,FALSE),0)</f>
        <v>0</v>
      </c>
      <c r="AB206" s="243">
        <v>0</v>
      </c>
      <c r="AC206" s="202">
        <f t="shared" si="29"/>
        <v>0</v>
      </c>
      <c r="AD206" s="259">
        <f t="shared" si="30"/>
        <v>0</v>
      </c>
      <c r="AE206" s="260">
        <f t="shared" si="31"/>
        <v>0</v>
      </c>
      <c r="AF206" s="260">
        <f t="shared" si="32"/>
        <v>0</v>
      </c>
      <c r="AG206" s="260">
        <f t="shared" si="33"/>
        <v>0</v>
      </c>
    </row>
    <row r="207" spans="1:592" s="13" customFormat="1" ht="21" x14ac:dyDescent="0.2">
      <c r="A207" s="10" t="s">
        <v>225</v>
      </c>
      <c r="B207" s="15" t="s">
        <v>444</v>
      </c>
      <c r="C207" s="11" t="s">
        <v>288</v>
      </c>
      <c r="D207" s="11">
        <v>8533092</v>
      </c>
      <c r="E207" s="225" t="s">
        <v>337</v>
      </c>
      <c r="F207" s="192" t="s">
        <v>278</v>
      </c>
      <c r="G207" s="201">
        <f>IFERROR(VLOOKUP(D207,List1!$A$5:$B$227,2,FALSE),"0")</f>
        <v>1653000</v>
      </c>
      <c r="H207" s="41">
        <f>IFERROR(VLOOKUP(D207,List1!$D$5:$E$41,2,FALSE),"0")</f>
        <v>1126820</v>
      </c>
      <c r="I207" s="41">
        <f>IFERROR(VLOOKUP(D207,List1!$G$5:$H$227,2,FALSE),"0")</f>
        <v>226000</v>
      </c>
      <c r="J207" s="40">
        <f t="shared" si="26"/>
        <v>3005820</v>
      </c>
      <c r="K207" s="41" t="str">
        <f>IFERROR(VLOOKUP(D207,List1!$J$5:$K$227,2,FALSE),"0")</f>
        <v>0</v>
      </c>
      <c r="L207" s="41" t="str">
        <f>IFERROR(VLOOKUP(D207,List1!$M$5:$N$112,2,FALSE),"0")</f>
        <v>0</v>
      </c>
      <c r="M207" s="43">
        <v>0</v>
      </c>
      <c r="N207" s="80">
        <f>VLOOKUP($D$5:$D$251,List2!$A$2:$B$241,2,FALSE)</f>
        <v>157684</v>
      </c>
      <c r="O207" s="80">
        <f>IFERROR(VLOOKUP($D$5:$D$260,List1!$Y$5:$Z$244,2,FALSE),0)</f>
        <v>0</v>
      </c>
      <c r="P207" s="202">
        <f>IFERROR(VLOOKUP($D$5:$D$260,List1!$AB$5:$AC$244,2,FALSE),0)</f>
        <v>0</v>
      </c>
      <c r="Q207" s="201">
        <f>IFERROR(VLOOKUP($D$5:$D$260,List1!$S$5:$T$231,2,FALSE),0)</f>
        <v>1953986</v>
      </c>
      <c r="R207" s="41">
        <v>0</v>
      </c>
      <c r="S207" s="41">
        <f>IFERROR(VLOOKUP($D$5:$D$260,List1!$AE$5:$AF$231,2,FALSE),0)</f>
        <v>387688</v>
      </c>
      <c r="T207" s="41">
        <f t="shared" si="27"/>
        <v>2341674</v>
      </c>
      <c r="U207" s="41">
        <f>IFERROR(VLOOKUP(D207,List1!$P$5:$Q$110,2,FALSE),"0")</f>
        <v>451000</v>
      </c>
      <c r="V207" s="41">
        <v>0</v>
      </c>
      <c r="W207" s="248">
        <v>0</v>
      </c>
      <c r="X207" s="211">
        <f t="shared" si="28"/>
        <v>2792674</v>
      </c>
      <c r="Y207" s="219"/>
      <c r="Z207" s="80">
        <f>IFERROR(VLOOKUP($D$5:$D$260,#REF!,3,FALSE),0)</f>
        <v>0</v>
      </c>
      <c r="AA207" s="80">
        <f>IFERROR(VLOOKUP($D$5:$D$260,#REF!,3,FALSE),0)</f>
        <v>0</v>
      </c>
      <c r="AB207" s="243">
        <v>0</v>
      </c>
      <c r="AC207" s="202">
        <f t="shared" si="29"/>
        <v>0</v>
      </c>
      <c r="AD207" s="259">
        <f t="shared" si="30"/>
        <v>-451000</v>
      </c>
      <c r="AE207" s="260">
        <f t="shared" si="31"/>
        <v>-1</v>
      </c>
      <c r="AF207" s="260">
        <f t="shared" si="32"/>
        <v>-1</v>
      </c>
      <c r="AG207" s="260">
        <f t="shared" si="33"/>
        <v>-1</v>
      </c>
    </row>
    <row r="208" spans="1:592" s="27" customFormat="1" ht="31.5" x14ac:dyDescent="0.2">
      <c r="A208" s="17" t="s">
        <v>445</v>
      </c>
      <c r="B208" s="18">
        <v>7333919</v>
      </c>
      <c r="C208" s="11" t="s">
        <v>318</v>
      </c>
      <c r="D208" s="18">
        <v>9964505</v>
      </c>
      <c r="E208" s="225" t="s">
        <v>285</v>
      </c>
      <c r="F208" s="193" t="s">
        <v>278</v>
      </c>
      <c r="G208" s="201">
        <f>IFERROR(VLOOKUP(D208,List1!$A$5:$B$227,2,FALSE),"0")</f>
        <v>4200000</v>
      </c>
      <c r="H208" s="41" t="str">
        <f>IFERROR(VLOOKUP(D208,List1!$D$5:$E$41,2,FALSE),"0")</f>
        <v>0</v>
      </c>
      <c r="I208" s="41" t="str">
        <f>IFERROR(VLOOKUP(D208,List1!$G$5:$H$227,2,FALSE),"0")</f>
        <v>0</v>
      </c>
      <c r="J208" s="40">
        <f t="shared" si="26"/>
        <v>4200000</v>
      </c>
      <c r="K208" s="41" t="str">
        <f>IFERROR(VLOOKUP(D208,List1!$J$5:$K$227,2,FALSE),"0")</f>
        <v>0</v>
      </c>
      <c r="L208" s="41" t="str">
        <f>IFERROR(VLOOKUP(D208,List1!$M$5:$N$112,2,FALSE),"0")</f>
        <v>0</v>
      </c>
      <c r="M208" s="43">
        <v>0</v>
      </c>
      <c r="N208" s="80">
        <f>VLOOKUP($D$5:$D$251,List2!$A$2:$B$241,2,FALSE)</f>
        <v>0</v>
      </c>
      <c r="O208" s="80">
        <f>IFERROR(VLOOKUP($D$5:$D$260,List1!$Y$5:$Z$244,2,FALSE),0)</f>
        <v>0</v>
      </c>
      <c r="P208" s="202">
        <f>IFERROR(VLOOKUP($D$5:$D$260,List1!$AB$5:$AC$244,2,FALSE),0)</f>
        <v>0</v>
      </c>
      <c r="Q208" s="201">
        <f>IFERROR(VLOOKUP($D$5:$D$260,List1!$S$5:$T$231,2,FALSE),0)</f>
        <v>3672940</v>
      </c>
      <c r="R208" s="41">
        <v>0</v>
      </c>
      <c r="S208" s="41">
        <f>IFERROR(VLOOKUP($D$5:$D$260,List1!$AE$5:$AF$231,2,FALSE),0)</f>
        <v>775377</v>
      </c>
      <c r="T208" s="41">
        <f t="shared" si="27"/>
        <v>4448317</v>
      </c>
      <c r="U208" s="41" t="str">
        <f>IFERROR(VLOOKUP(D208,List1!$P$5:$Q$110,2,FALSE),"0")</f>
        <v>0</v>
      </c>
      <c r="V208" s="41">
        <v>0</v>
      </c>
      <c r="W208" s="248">
        <v>0</v>
      </c>
      <c r="X208" s="211">
        <f t="shared" si="28"/>
        <v>4448317</v>
      </c>
      <c r="Y208" s="219"/>
      <c r="Z208" s="80">
        <f>IFERROR(VLOOKUP($D$5:$D$260,#REF!,3,FALSE),0)</f>
        <v>0</v>
      </c>
      <c r="AA208" s="80">
        <f>IFERROR(VLOOKUP($D$5:$D$260,#REF!,3,FALSE),0)</f>
        <v>0</v>
      </c>
      <c r="AB208" s="243">
        <v>0</v>
      </c>
      <c r="AC208" s="202">
        <f t="shared" si="29"/>
        <v>0</v>
      </c>
      <c r="AD208" s="259">
        <f t="shared" si="30"/>
        <v>0</v>
      </c>
      <c r="AE208" s="260">
        <f t="shared" si="31"/>
        <v>0</v>
      </c>
      <c r="AF208" s="260">
        <f t="shared" si="32"/>
        <v>0</v>
      </c>
      <c r="AG208" s="260">
        <f t="shared" si="33"/>
        <v>0</v>
      </c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  <c r="IM208" s="13"/>
      <c r="IN208" s="13"/>
      <c r="IO208" s="13"/>
      <c r="IP208" s="13"/>
      <c r="IQ208" s="13"/>
      <c r="IR208" s="13"/>
      <c r="IS208" s="13"/>
      <c r="IT208" s="13"/>
      <c r="IU208" s="13"/>
      <c r="IV208" s="13"/>
      <c r="IW208" s="13"/>
      <c r="IX208" s="13"/>
      <c r="IY208" s="13"/>
      <c r="IZ208" s="13"/>
      <c r="JA208" s="13"/>
      <c r="JB208" s="13"/>
      <c r="JC208" s="13"/>
      <c r="JD208" s="13"/>
      <c r="JE208" s="13"/>
      <c r="JF208" s="13"/>
      <c r="JG208" s="13"/>
      <c r="JH208" s="13"/>
      <c r="JI208" s="13"/>
      <c r="JJ208" s="13"/>
      <c r="JK208" s="13"/>
      <c r="JL208" s="13"/>
      <c r="JM208" s="13"/>
      <c r="JN208" s="13"/>
      <c r="JO208" s="13"/>
      <c r="JP208" s="13"/>
      <c r="JQ208" s="13"/>
      <c r="JR208" s="13"/>
      <c r="JS208" s="13"/>
      <c r="JT208" s="13"/>
      <c r="JU208" s="13"/>
      <c r="JV208" s="13"/>
      <c r="JW208" s="13"/>
      <c r="JX208" s="13"/>
      <c r="JY208" s="13"/>
      <c r="JZ208" s="13"/>
      <c r="KA208" s="13"/>
      <c r="KB208" s="13"/>
      <c r="KC208" s="13"/>
      <c r="KD208" s="13"/>
      <c r="KE208" s="13"/>
      <c r="KF208" s="13"/>
      <c r="KG208" s="13"/>
      <c r="KH208" s="13"/>
      <c r="KI208" s="13"/>
      <c r="KJ208" s="13"/>
      <c r="KK208" s="13"/>
      <c r="KL208" s="13"/>
      <c r="KM208" s="13"/>
      <c r="KN208" s="13"/>
      <c r="KO208" s="13"/>
      <c r="KP208" s="13"/>
      <c r="KQ208" s="13"/>
      <c r="KR208" s="13"/>
      <c r="KS208" s="13"/>
      <c r="KT208" s="13"/>
      <c r="KU208" s="13"/>
      <c r="KV208" s="13"/>
      <c r="KW208" s="13"/>
      <c r="KX208" s="13"/>
      <c r="KY208" s="13"/>
      <c r="KZ208" s="13"/>
      <c r="LA208" s="13"/>
      <c r="LB208" s="13"/>
      <c r="LC208" s="13"/>
      <c r="LD208" s="13"/>
      <c r="LE208" s="13"/>
      <c r="LF208" s="13"/>
      <c r="LG208" s="13"/>
      <c r="LH208" s="13"/>
      <c r="LI208" s="13"/>
      <c r="LJ208" s="13"/>
      <c r="LK208" s="13"/>
      <c r="LL208" s="13"/>
      <c r="LM208" s="13"/>
      <c r="LN208" s="13"/>
      <c r="LO208" s="13"/>
      <c r="LP208" s="13"/>
      <c r="LQ208" s="13"/>
      <c r="LR208" s="13"/>
      <c r="LS208" s="13"/>
      <c r="LT208" s="13"/>
      <c r="LU208" s="13"/>
      <c r="LV208" s="13"/>
      <c r="LW208" s="13"/>
      <c r="LX208" s="13"/>
      <c r="LY208" s="13"/>
      <c r="LZ208" s="13"/>
      <c r="MA208" s="13"/>
      <c r="MB208" s="13"/>
      <c r="MC208" s="13"/>
      <c r="MD208" s="13"/>
      <c r="ME208" s="13"/>
      <c r="MF208" s="13"/>
      <c r="MG208" s="13"/>
      <c r="MH208" s="13"/>
      <c r="MI208" s="13"/>
      <c r="MJ208" s="13"/>
      <c r="MK208" s="13"/>
      <c r="ML208" s="13"/>
      <c r="MM208" s="13"/>
      <c r="MN208" s="13"/>
      <c r="MO208" s="13"/>
      <c r="MP208" s="13"/>
      <c r="MQ208" s="13"/>
      <c r="MR208" s="13"/>
      <c r="MS208" s="13"/>
      <c r="MT208" s="13"/>
      <c r="MU208" s="13"/>
      <c r="MV208" s="13"/>
      <c r="MW208" s="13"/>
      <c r="MX208" s="13"/>
      <c r="MY208" s="13"/>
      <c r="MZ208" s="13"/>
      <c r="NA208" s="13"/>
      <c r="NB208" s="13"/>
      <c r="NC208" s="13"/>
      <c r="ND208" s="13"/>
      <c r="NE208" s="13"/>
      <c r="NF208" s="13"/>
      <c r="NG208" s="13"/>
      <c r="NH208" s="13"/>
      <c r="NI208" s="13"/>
      <c r="NJ208" s="13"/>
      <c r="NK208" s="13"/>
      <c r="NL208" s="13"/>
      <c r="NM208" s="13"/>
      <c r="NN208" s="13"/>
      <c r="NO208" s="13"/>
      <c r="NP208" s="13"/>
      <c r="NQ208" s="13"/>
      <c r="NR208" s="13"/>
      <c r="NS208" s="13"/>
      <c r="NT208" s="13"/>
      <c r="NU208" s="13"/>
      <c r="NV208" s="13"/>
      <c r="NW208" s="13"/>
      <c r="NX208" s="13"/>
      <c r="NY208" s="13"/>
      <c r="NZ208" s="13"/>
      <c r="OA208" s="13"/>
      <c r="OB208" s="13"/>
      <c r="OC208" s="13"/>
      <c r="OD208" s="13"/>
      <c r="OE208" s="13"/>
      <c r="OF208" s="13"/>
      <c r="OG208" s="13"/>
      <c r="OH208" s="13"/>
      <c r="OI208" s="13"/>
      <c r="OJ208" s="13"/>
      <c r="OK208" s="13"/>
      <c r="OL208" s="13"/>
      <c r="OM208" s="13"/>
      <c r="ON208" s="13"/>
      <c r="OO208" s="13"/>
      <c r="OP208" s="13"/>
      <c r="OQ208" s="13"/>
      <c r="OR208" s="13"/>
      <c r="OS208" s="13"/>
      <c r="OT208" s="13"/>
      <c r="OU208" s="13"/>
      <c r="OV208" s="13"/>
      <c r="OW208" s="13"/>
      <c r="OX208" s="13"/>
      <c r="OY208" s="13"/>
      <c r="OZ208" s="13"/>
      <c r="PA208" s="13"/>
      <c r="PB208" s="13"/>
      <c r="PC208" s="13"/>
      <c r="PD208" s="13"/>
      <c r="PE208" s="13"/>
      <c r="PF208" s="13"/>
      <c r="PG208" s="13"/>
      <c r="PH208" s="13"/>
      <c r="PI208" s="13"/>
      <c r="PJ208" s="13"/>
      <c r="PK208" s="13"/>
      <c r="PL208" s="13"/>
      <c r="PM208" s="13"/>
      <c r="PN208" s="13"/>
      <c r="PO208" s="13"/>
      <c r="PP208" s="13"/>
      <c r="PQ208" s="13"/>
      <c r="PR208" s="13"/>
      <c r="PS208" s="13"/>
      <c r="PT208" s="13"/>
      <c r="PU208" s="13"/>
      <c r="PV208" s="13"/>
      <c r="PW208" s="13"/>
      <c r="PX208" s="13"/>
      <c r="PY208" s="13"/>
      <c r="PZ208" s="13"/>
      <c r="QA208" s="13"/>
      <c r="QB208" s="13"/>
      <c r="QC208" s="13"/>
      <c r="QD208" s="13"/>
      <c r="QE208" s="13"/>
      <c r="QF208" s="13"/>
      <c r="QG208" s="13"/>
      <c r="QH208" s="13"/>
      <c r="QI208" s="13"/>
      <c r="QJ208" s="13"/>
      <c r="QK208" s="13"/>
      <c r="QL208" s="13"/>
      <c r="QM208" s="13"/>
      <c r="QN208" s="13"/>
      <c r="QO208" s="13"/>
      <c r="QP208" s="13"/>
      <c r="QQ208" s="13"/>
      <c r="QR208" s="13"/>
      <c r="QS208" s="13"/>
      <c r="QT208" s="13"/>
      <c r="QU208" s="13"/>
      <c r="QV208" s="13"/>
      <c r="QW208" s="13"/>
      <c r="QX208" s="13"/>
      <c r="QY208" s="13"/>
      <c r="QZ208" s="13"/>
      <c r="RA208" s="13"/>
      <c r="RB208" s="13"/>
      <c r="RC208" s="13"/>
      <c r="RD208" s="13"/>
      <c r="RE208" s="13"/>
      <c r="RF208" s="13"/>
      <c r="RG208" s="13"/>
      <c r="RH208" s="13"/>
      <c r="RI208" s="13"/>
      <c r="RJ208" s="13"/>
      <c r="RK208" s="13"/>
      <c r="RL208" s="13"/>
      <c r="RM208" s="13"/>
      <c r="RN208" s="13"/>
      <c r="RO208" s="13"/>
      <c r="RP208" s="13"/>
      <c r="RQ208" s="13"/>
      <c r="RR208" s="13"/>
      <c r="RS208" s="13"/>
      <c r="RT208" s="13"/>
      <c r="RU208" s="13"/>
      <c r="RV208" s="13"/>
      <c r="RW208" s="13"/>
      <c r="RX208" s="13"/>
      <c r="RY208" s="13"/>
      <c r="RZ208" s="13"/>
      <c r="SA208" s="13"/>
      <c r="SB208" s="13"/>
      <c r="SC208" s="13"/>
      <c r="SD208" s="13"/>
      <c r="SE208" s="13"/>
      <c r="SF208" s="13"/>
      <c r="SG208" s="13"/>
      <c r="SH208" s="13"/>
      <c r="SI208" s="13"/>
      <c r="SJ208" s="13"/>
      <c r="SK208" s="13"/>
      <c r="SL208" s="13"/>
      <c r="SM208" s="13"/>
      <c r="SN208" s="13"/>
      <c r="SO208" s="13"/>
      <c r="SP208" s="13"/>
      <c r="SQ208" s="13"/>
      <c r="SR208" s="13"/>
      <c r="SS208" s="13"/>
      <c r="ST208" s="13"/>
      <c r="SU208" s="13"/>
      <c r="SV208" s="13"/>
      <c r="SW208" s="13"/>
      <c r="SX208" s="13"/>
      <c r="SY208" s="13"/>
      <c r="SZ208" s="13"/>
      <c r="TA208" s="13"/>
      <c r="TB208" s="13"/>
      <c r="TC208" s="13"/>
      <c r="TD208" s="13"/>
      <c r="TE208" s="13"/>
      <c r="TF208" s="13"/>
      <c r="TG208" s="13"/>
      <c r="TH208" s="13"/>
      <c r="TI208" s="13"/>
      <c r="TJ208" s="13"/>
      <c r="TK208" s="13"/>
      <c r="TL208" s="13"/>
      <c r="TM208" s="13"/>
      <c r="TN208" s="13"/>
      <c r="TO208" s="13"/>
      <c r="TP208" s="13"/>
      <c r="TQ208" s="13"/>
      <c r="TR208" s="13"/>
      <c r="TS208" s="13"/>
      <c r="TT208" s="13"/>
      <c r="TU208" s="13"/>
      <c r="TV208" s="13"/>
      <c r="TW208" s="13"/>
      <c r="TX208" s="13"/>
      <c r="TY208" s="13"/>
      <c r="TZ208" s="13"/>
      <c r="UA208" s="13"/>
      <c r="UB208" s="13"/>
      <c r="UC208" s="13"/>
      <c r="UD208" s="13"/>
      <c r="UE208" s="13"/>
      <c r="UF208" s="13"/>
      <c r="UG208" s="13"/>
      <c r="UH208" s="13"/>
      <c r="UI208" s="13"/>
      <c r="UJ208" s="13"/>
      <c r="UK208" s="13"/>
      <c r="UL208" s="13"/>
      <c r="UM208" s="13"/>
      <c r="UN208" s="13"/>
      <c r="UO208" s="13"/>
      <c r="UP208" s="13"/>
      <c r="UQ208" s="13"/>
      <c r="UR208" s="13"/>
      <c r="US208" s="13"/>
      <c r="UT208" s="13"/>
      <c r="UU208" s="13"/>
      <c r="UV208" s="13"/>
      <c r="UW208" s="13"/>
      <c r="UX208" s="13"/>
      <c r="UY208" s="13"/>
      <c r="UZ208" s="13"/>
      <c r="VA208" s="13"/>
      <c r="VB208" s="13"/>
      <c r="VC208" s="13"/>
      <c r="VD208" s="13"/>
      <c r="VE208" s="13"/>
      <c r="VF208" s="13"/>
      <c r="VG208" s="13"/>
      <c r="VH208" s="13"/>
      <c r="VI208" s="13"/>
      <c r="VJ208" s="13"/>
      <c r="VK208" s="13"/>
      <c r="VL208" s="13"/>
      <c r="VM208" s="13"/>
      <c r="VN208" s="13"/>
      <c r="VO208" s="13"/>
      <c r="VP208" s="13"/>
      <c r="VQ208" s="13"/>
      <c r="VR208" s="13"/>
      <c r="VS208" s="13"/>
      <c r="VT208" s="13"/>
    </row>
    <row r="209" spans="1:592" s="27" customFormat="1" x14ac:dyDescent="0.2">
      <c r="A209" s="10" t="s">
        <v>446</v>
      </c>
      <c r="B209" s="11">
        <v>27010031</v>
      </c>
      <c r="C209" s="11" t="s">
        <v>288</v>
      </c>
      <c r="D209" s="11">
        <v>5792926</v>
      </c>
      <c r="E209" s="225" t="s">
        <v>297</v>
      </c>
      <c r="F209" s="192" t="s">
        <v>269</v>
      </c>
      <c r="G209" s="201">
        <f>IFERROR(VLOOKUP(D209,List1!$A$5:$B$227,2,FALSE),"0")</f>
        <v>856000</v>
      </c>
      <c r="H209" s="41" t="str">
        <f>IFERROR(VLOOKUP(D209,List1!$D$5:$E$41,2,FALSE),"0")</f>
        <v>0</v>
      </c>
      <c r="I209" s="41">
        <f>IFERROR(VLOOKUP(D209,List1!$G$5:$H$227,2,FALSE),"0")</f>
        <v>221833</v>
      </c>
      <c r="J209" s="40">
        <f t="shared" si="26"/>
        <v>1077833</v>
      </c>
      <c r="K209" s="41" t="str">
        <f>IFERROR(VLOOKUP(D209,List1!$J$5:$K$227,2,FALSE),"0")</f>
        <v>0</v>
      </c>
      <c r="L209" s="41">
        <f>IFERROR(VLOOKUP(D209,List1!$M$5:$N$112,2,FALSE),"0")</f>
        <v>18000</v>
      </c>
      <c r="M209" s="43">
        <v>0</v>
      </c>
      <c r="N209" s="80">
        <f>VLOOKUP($D$5:$D$251,List2!$A$2:$B$241,2,FALSE)</f>
        <v>0</v>
      </c>
      <c r="O209" s="80">
        <f>IFERROR(VLOOKUP($D$5:$D$260,List1!$Y$5:$Z$244,2,FALSE),0)</f>
        <v>0</v>
      </c>
      <c r="P209" s="202">
        <f>IFERROR(VLOOKUP($D$5:$D$260,List1!$AB$5:$AC$244,2,FALSE),0)</f>
        <v>0</v>
      </c>
      <c r="Q209" s="201">
        <f>IFERROR(VLOOKUP($D$5:$D$260,List1!$S$5:$T$231,2,FALSE),0)</f>
        <v>843458</v>
      </c>
      <c r="R209" s="41">
        <v>0</v>
      </c>
      <c r="S209" s="41">
        <f>IFERROR(VLOOKUP($D$5:$D$260,List1!$AE$5:$AF$231,2,FALSE),0)</f>
        <v>150000</v>
      </c>
      <c r="T209" s="41">
        <f t="shared" si="27"/>
        <v>993458</v>
      </c>
      <c r="U209" s="41" t="str">
        <f>IFERROR(VLOOKUP(D209,List1!$P$5:$Q$110,2,FALSE),"0")</f>
        <v>0</v>
      </c>
      <c r="V209" s="41">
        <v>0</v>
      </c>
      <c r="W209" s="248">
        <v>0</v>
      </c>
      <c r="X209" s="211">
        <f t="shared" si="28"/>
        <v>993458</v>
      </c>
      <c r="Y209" s="219"/>
      <c r="Z209" s="80">
        <f>IFERROR(VLOOKUP($D$5:$D$260,#REF!,3,FALSE),0)</f>
        <v>0</v>
      </c>
      <c r="AA209" s="80">
        <f>IFERROR(VLOOKUP($D$5:$D$260,#REF!,3,FALSE),0)</f>
        <v>0</v>
      </c>
      <c r="AB209" s="243">
        <v>0</v>
      </c>
      <c r="AC209" s="202">
        <f t="shared" si="29"/>
        <v>0</v>
      </c>
      <c r="AD209" s="259">
        <f t="shared" si="30"/>
        <v>0</v>
      </c>
      <c r="AE209" s="260">
        <f t="shared" si="31"/>
        <v>0</v>
      </c>
      <c r="AF209" s="260">
        <f t="shared" si="32"/>
        <v>0</v>
      </c>
      <c r="AG209" s="260">
        <f t="shared" si="33"/>
        <v>0</v>
      </c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  <c r="IM209" s="13"/>
      <c r="IN209" s="13"/>
      <c r="IO209" s="13"/>
      <c r="IP209" s="13"/>
      <c r="IQ209" s="13"/>
      <c r="IR209" s="13"/>
      <c r="IS209" s="13"/>
      <c r="IT209" s="13"/>
      <c r="IU209" s="13"/>
      <c r="IV209" s="13"/>
      <c r="IW209" s="13"/>
      <c r="IX209" s="13"/>
      <c r="IY209" s="13"/>
      <c r="IZ209" s="13"/>
      <c r="JA209" s="13"/>
      <c r="JB209" s="13"/>
      <c r="JC209" s="13"/>
      <c r="JD209" s="13"/>
      <c r="JE209" s="13"/>
      <c r="JF209" s="13"/>
      <c r="JG209" s="13"/>
      <c r="JH209" s="13"/>
      <c r="JI209" s="13"/>
      <c r="JJ209" s="13"/>
      <c r="JK209" s="13"/>
      <c r="JL209" s="13"/>
      <c r="JM209" s="13"/>
      <c r="JN209" s="13"/>
      <c r="JO209" s="13"/>
      <c r="JP209" s="13"/>
      <c r="JQ209" s="13"/>
      <c r="JR209" s="13"/>
      <c r="JS209" s="13"/>
      <c r="JT209" s="13"/>
      <c r="JU209" s="13"/>
      <c r="JV209" s="13"/>
      <c r="JW209" s="13"/>
      <c r="JX209" s="13"/>
      <c r="JY209" s="13"/>
      <c r="JZ209" s="13"/>
      <c r="KA209" s="13"/>
      <c r="KB209" s="13"/>
      <c r="KC209" s="13"/>
      <c r="KD209" s="13"/>
      <c r="KE209" s="13"/>
      <c r="KF209" s="13"/>
      <c r="KG209" s="13"/>
      <c r="KH209" s="13"/>
      <c r="KI209" s="13"/>
      <c r="KJ209" s="13"/>
      <c r="KK209" s="13"/>
      <c r="KL209" s="13"/>
      <c r="KM209" s="13"/>
      <c r="KN209" s="13"/>
      <c r="KO209" s="13"/>
      <c r="KP209" s="13"/>
      <c r="KQ209" s="13"/>
      <c r="KR209" s="13"/>
      <c r="KS209" s="13"/>
      <c r="KT209" s="13"/>
      <c r="KU209" s="13"/>
      <c r="KV209" s="13"/>
      <c r="KW209" s="13"/>
      <c r="KX209" s="13"/>
      <c r="KY209" s="13"/>
      <c r="KZ209" s="13"/>
      <c r="LA209" s="13"/>
      <c r="LB209" s="13"/>
      <c r="LC209" s="13"/>
      <c r="LD209" s="13"/>
      <c r="LE209" s="13"/>
      <c r="LF209" s="13"/>
      <c r="LG209" s="13"/>
      <c r="LH209" s="13"/>
      <c r="LI209" s="13"/>
      <c r="LJ209" s="13"/>
      <c r="LK209" s="13"/>
      <c r="LL209" s="13"/>
      <c r="LM209" s="13"/>
      <c r="LN209" s="13"/>
      <c r="LO209" s="13"/>
      <c r="LP209" s="13"/>
      <c r="LQ209" s="13"/>
      <c r="LR209" s="13"/>
      <c r="LS209" s="13"/>
      <c r="LT209" s="13"/>
      <c r="LU209" s="13"/>
      <c r="LV209" s="13"/>
      <c r="LW209" s="13"/>
      <c r="LX209" s="13"/>
      <c r="LY209" s="13"/>
      <c r="LZ209" s="13"/>
      <c r="MA209" s="13"/>
      <c r="MB209" s="13"/>
      <c r="MC209" s="13"/>
      <c r="MD209" s="13"/>
      <c r="ME209" s="13"/>
      <c r="MF209" s="13"/>
      <c r="MG209" s="13"/>
      <c r="MH209" s="13"/>
      <c r="MI209" s="13"/>
      <c r="MJ209" s="13"/>
      <c r="MK209" s="13"/>
      <c r="ML209" s="13"/>
      <c r="MM209" s="13"/>
      <c r="MN209" s="13"/>
      <c r="MO209" s="13"/>
      <c r="MP209" s="13"/>
      <c r="MQ209" s="13"/>
      <c r="MR209" s="13"/>
      <c r="MS209" s="13"/>
      <c r="MT209" s="13"/>
      <c r="MU209" s="13"/>
      <c r="MV209" s="13"/>
      <c r="MW209" s="13"/>
      <c r="MX209" s="13"/>
      <c r="MY209" s="13"/>
      <c r="MZ209" s="13"/>
      <c r="NA209" s="13"/>
      <c r="NB209" s="13"/>
      <c r="NC209" s="13"/>
      <c r="ND209" s="13"/>
      <c r="NE209" s="13"/>
      <c r="NF209" s="13"/>
      <c r="NG209" s="13"/>
      <c r="NH209" s="13"/>
      <c r="NI209" s="13"/>
      <c r="NJ209" s="13"/>
      <c r="NK209" s="13"/>
      <c r="NL209" s="13"/>
      <c r="NM209" s="13"/>
      <c r="NN209" s="13"/>
      <c r="NO209" s="13"/>
      <c r="NP209" s="13"/>
      <c r="NQ209" s="13"/>
      <c r="NR209" s="13"/>
      <c r="NS209" s="13"/>
      <c r="NT209" s="13"/>
      <c r="NU209" s="13"/>
      <c r="NV209" s="13"/>
      <c r="NW209" s="13"/>
      <c r="NX209" s="13"/>
      <c r="NY209" s="13"/>
      <c r="NZ209" s="13"/>
      <c r="OA209" s="13"/>
      <c r="OB209" s="13"/>
      <c r="OC209" s="13"/>
      <c r="OD209" s="13"/>
      <c r="OE209" s="13"/>
      <c r="OF209" s="13"/>
      <c r="OG209" s="13"/>
      <c r="OH209" s="13"/>
      <c r="OI209" s="13"/>
      <c r="OJ209" s="13"/>
      <c r="OK209" s="13"/>
      <c r="OL209" s="13"/>
      <c r="OM209" s="13"/>
      <c r="ON209" s="13"/>
      <c r="OO209" s="13"/>
      <c r="OP209" s="13"/>
      <c r="OQ209" s="13"/>
      <c r="OR209" s="13"/>
      <c r="OS209" s="13"/>
      <c r="OT209" s="13"/>
      <c r="OU209" s="13"/>
      <c r="OV209" s="13"/>
      <c r="OW209" s="13"/>
      <c r="OX209" s="13"/>
      <c r="OY209" s="13"/>
      <c r="OZ209" s="13"/>
      <c r="PA209" s="13"/>
      <c r="PB209" s="13"/>
      <c r="PC209" s="13"/>
      <c r="PD209" s="13"/>
      <c r="PE209" s="13"/>
      <c r="PF209" s="13"/>
      <c r="PG209" s="13"/>
      <c r="PH209" s="13"/>
      <c r="PI209" s="13"/>
      <c r="PJ209" s="13"/>
      <c r="PK209" s="13"/>
      <c r="PL209" s="13"/>
      <c r="PM209" s="13"/>
      <c r="PN209" s="13"/>
      <c r="PO209" s="13"/>
      <c r="PP209" s="13"/>
      <c r="PQ209" s="13"/>
      <c r="PR209" s="13"/>
      <c r="PS209" s="13"/>
      <c r="PT209" s="13"/>
      <c r="PU209" s="13"/>
      <c r="PV209" s="13"/>
      <c r="PW209" s="13"/>
      <c r="PX209" s="13"/>
      <c r="PY209" s="13"/>
      <c r="PZ209" s="13"/>
      <c r="QA209" s="13"/>
      <c r="QB209" s="13"/>
      <c r="QC209" s="13"/>
      <c r="QD209" s="13"/>
      <c r="QE209" s="13"/>
      <c r="QF209" s="13"/>
      <c r="QG209" s="13"/>
      <c r="QH209" s="13"/>
      <c r="QI209" s="13"/>
      <c r="QJ209" s="13"/>
      <c r="QK209" s="13"/>
      <c r="QL209" s="13"/>
      <c r="QM209" s="13"/>
      <c r="QN209" s="13"/>
      <c r="QO209" s="13"/>
      <c r="QP209" s="13"/>
      <c r="QQ209" s="13"/>
      <c r="QR209" s="13"/>
      <c r="QS209" s="13"/>
      <c r="QT209" s="13"/>
      <c r="QU209" s="13"/>
      <c r="QV209" s="13"/>
      <c r="QW209" s="13"/>
      <c r="QX209" s="13"/>
      <c r="QY209" s="13"/>
      <c r="QZ209" s="13"/>
      <c r="RA209" s="13"/>
      <c r="RB209" s="13"/>
      <c r="RC209" s="13"/>
      <c r="RD209" s="13"/>
      <c r="RE209" s="13"/>
      <c r="RF209" s="13"/>
      <c r="RG209" s="13"/>
      <c r="RH209" s="13"/>
      <c r="RI209" s="13"/>
      <c r="RJ209" s="13"/>
      <c r="RK209" s="13"/>
      <c r="RL209" s="13"/>
      <c r="RM209" s="13"/>
      <c r="RN209" s="13"/>
      <c r="RO209" s="13"/>
      <c r="RP209" s="13"/>
      <c r="RQ209" s="13"/>
      <c r="RR209" s="13"/>
      <c r="RS209" s="13"/>
      <c r="RT209" s="13"/>
      <c r="RU209" s="13"/>
      <c r="RV209" s="13"/>
      <c r="RW209" s="13"/>
      <c r="RX209" s="13"/>
      <c r="RY209" s="13"/>
      <c r="RZ209" s="13"/>
      <c r="SA209" s="13"/>
      <c r="SB209" s="13"/>
      <c r="SC209" s="13"/>
      <c r="SD209" s="13"/>
      <c r="SE209" s="13"/>
      <c r="SF209" s="13"/>
      <c r="SG209" s="13"/>
      <c r="SH209" s="13"/>
      <c r="SI209" s="13"/>
      <c r="SJ209" s="13"/>
      <c r="SK209" s="13"/>
      <c r="SL209" s="13"/>
      <c r="SM209" s="13"/>
      <c r="SN209" s="13"/>
      <c r="SO209" s="13"/>
      <c r="SP209" s="13"/>
      <c r="SQ209" s="13"/>
      <c r="SR209" s="13"/>
      <c r="SS209" s="13"/>
      <c r="ST209" s="13"/>
      <c r="SU209" s="13"/>
      <c r="SV209" s="13"/>
      <c r="SW209" s="13"/>
      <c r="SX209" s="13"/>
      <c r="SY209" s="13"/>
      <c r="SZ209" s="13"/>
      <c r="TA209" s="13"/>
      <c r="TB209" s="13"/>
      <c r="TC209" s="13"/>
      <c r="TD209" s="13"/>
      <c r="TE209" s="13"/>
      <c r="TF209" s="13"/>
      <c r="TG209" s="13"/>
      <c r="TH209" s="13"/>
      <c r="TI209" s="13"/>
      <c r="TJ209" s="13"/>
      <c r="TK209" s="13"/>
      <c r="TL209" s="13"/>
      <c r="TM209" s="13"/>
      <c r="TN209" s="13"/>
      <c r="TO209" s="13"/>
      <c r="TP209" s="13"/>
      <c r="TQ209" s="13"/>
      <c r="TR209" s="13"/>
      <c r="TS209" s="13"/>
      <c r="TT209" s="13"/>
      <c r="TU209" s="13"/>
      <c r="TV209" s="13"/>
      <c r="TW209" s="13"/>
      <c r="TX209" s="13"/>
      <c r="TY209" s="13"/>
      <c r="TZ209" s="13"/>
      <c r="UA209" s="13"/>
      <c r="UB209" s="13"/>
      <c r="UC209" s="13"/>
      <c r="UD209" s="13"/>
      <c r="UE209" s="13"/>
      <c r="UF209" s="13"/>
      <c r="UG209" s="13"/>
      <c r="UH209" s="13"/>
      <c r="UI209" s="13"/>
      <c r="UJ209" s="13"/>
      <c r="UK209" s="13"/>
      <c r="UL209" s="13"/>
      <c r="UM209" s="13"/>
      <c r="UN209" s="13"/>
      <c r="UO209" s="13"/>
      <c r="UP209" s="13"/>
      <c r="UQ209" s="13"/>
      <c r="UR209" s="13"/>
      <c r="US209" s="13"/>
      <c r="UT209" s="13"/>
      <c r="UU209" s="13"/>
      <c r="UV209" s="13"/>
      <c r="UW209" s="13"/>
      <c r="UX209" s="13"/>
      <c r="UY209" s="13"/>
      <c r="UZ209" s="13"/>
      <c r="VA209" s="13"/>
      <c r="VB209" s="13"/>
      <c r="VC209" s="13"/>
      <c r="VD209" s="13"/>
      <c r="VE209" s="13"/>
      <c r="VF209" s="13"/>
      <c r="VG209" s="13"/>
      <c r="VH209" s="13"/>
      <c r="VI209" s="13"/>
      <c r="VJ209" s="13"/>
      <c r="VK209" s="13"/>
      <c r="VL209" s="13"/>
      <c r="VM209" s="13"/>
      <c r="VN209" s="13"/>
      <c r="VO209" s="13"/>
      <c r="VP209" s="13"/>
      <c r="VQ209" s="13"/>
      <c r="VR209" s="13"/>
      <c r="VS209" s="13"/>
      <c r="VT209" s="13"/>
    </row>
    <row r="210" spans="1:592" s="30" customFormat="1" x14ac:dyDescent="0.2">
      <c r="A210" s="10" t="s">
        <v>447</v>
      </c>
      <c r="B210" s="11">
        <v>26671468</v>
      </c>
      <c r="C210" s="11" t="s">
        <v>288</v>
      </c>
      <c r="D210" s="11">
        <v>9321887</v>
      </c>
      <c r="E210" s="225" t="s">
        <v>283</v>
      </c>
      <c r="F210" s="192" t="s">
        <v>278</v>
      </c>
      <c r="G210" s="201">
        <f>IFERROR(VLOOKUP(D210,List1!$A$5:$B$227,2,FALSE),"0")</f>
        <v>2250000</v>
      </c>
      <c r="H210" s="41" t="str">
        <f>IFERROR(VLOOKUP(D210,List1!$D$5:$E$41,2,FALSE),"0")</f>
        <v>0</v>
      </c>
      <c r="I210" s="41" t="str">
        <f>IFERROR(VLOOKUP(D210,List1!$G$5:$H$227,2,FALSE),"0")</f>
        <v>0</v>
      </c>
      <c r="J210" s="40">
        <f t="shared" si="26"/>
        <v>2250000</v>
      </c>
      <c r="K210" s="41" t="str">
        <f>IFERROR(VLOOKUP(D210,List1!$J$5:$K$227,2,FALSE),"0")</f>
        <v>0</v>
      </c>
      <c r="L210" s="41" t="str">
        <f>IFERROR(VLOOKUP(D210,List1!$M$5:$N$112,2,FALSE),"0")</f>
        <v>0</v>
      </c>
      <c r="M210" s="43">
        <v>0</v>
      </c>
      <c r="N210" s="80">
        <f>VLOOKUP($D$5:$D$251,List2!$A$2:$B$241,2,FALSE)</f>
        <v>70000</v>
      </c>
      <c r="O210" s="80">
        <f>IFERROR(VLOOKUP($D$5:$D$260,List1!$Y$5:$Z$244,2,FALSE),0)</f>
        <v>0</v>
      </c>
      <c r="P210" s="202">
        <f>IFERROR(VLOOKUP($D$5:$D$260,List1!$AB$5:$AC$244,2,FALSE),0)</f>
        <v>0</v>
      </c>
      <c r="Q210" s="201">
        <f>IFERROR(VLOOKUP($D$5:$D$260,List1!$S$5:$T$231,2,FALSE),0)</f>
        <v>1935552</v>
      </c>
      <c r="R210" s="41">
        <v>0</v>
      </c>
      <c r="S210" s="41">
        <f>IFERROR(VLOOKUP($D$5:$D$260,List1!$AE$5:$AF$231,2,FALSE),0)</f>
        <v>581533</v>
      </c>
      <c r="T210" s="41">
        <f t="shared" si="27"/>
        <v>2517085</v>
      </c>
      <c r="U210" s="41" t="str">
        <f>IFERROR(VLOOKUP(D210,List1!$P$5:$Q$110,2,FALSE),"0")</f>
        <v>0</v>
      </c>
      <c r="V210" s="41">
        <v>0</v>
      </c>
      <c r="W210" s="248">
        <v>0</v>
      </c>
      <c r="X210" s="211">
        <f t="shared" si="28"/>
        <v>2517085</v>
      </c>
      <c r="Y210" s="219"/>
      <c r="Z210" s="80">
        <f>IFERROR(VLOOKUP($D$5:$D$260,#REF!,3,FALSE),0)</f>
        <v>0</v>
      </c>
      <c r="AA210" s="80">
        <f>IFERROR(VLOOKUP($D$5:$D$260,#REF!,3,FALSE),0)</f>
        <v>0</v>
      </c>
      <c r="AB210" s="243">
        <v>0</v>
      </c>
      <c r="AC210" s="202">
        <f t="shared" si="29"/>
        <v>0</v>
      </c>
      <c r="AD210" s="259">
        <f t="shared" si="30"/>
        <v>0</v>
      </c>
      <c r="AE210" s="260">
        <f t="shared" si="31"/>
        <v>0</v>
      </c>
      <c r="AF210" s="260">
        <f t="shared" si="32"/>
        <v>0</v>
      </c>
      <c r="AG210" s="260">
        <f t="shared" si="33"/>
        <v>0</v>
      </c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  <c r="IX210" s="5"/>
      <c r="IY210" s="5"/>
      <c r="IZ210" s="5"/>
      <c r="JA210" s="5"/>
      <c r="JB210" s="5"/>
      <c r="JC210" s="5"/>
      <c r="JD210" s="5"/>
      <c r="JE210" s="5"/>
      <c r="JF210" s="5"/>
      <c r="JG210" s="5"/>
      <c r="JH210" s="5"/>
      <c r="JI210" s="5"/>
      <c r="JJ210" s="5"/>
      <c r="JK210" s="5"/>
      <c r="JL210" s="5"/>
      <c r="JM210" s="5"/>
      <c r="JN210" s="5"/>
      <c r="JO210" s="5"/>
      <c r="JP210" s="5"/>
      <c r="JQ210" s="5"/>
      <c r="JR210" s="5"/>
      <c r="JS210" s="5"/>
      <c r="JT210" s="5"/>
      <c r="JU210" s="5"/>
      <c r="JV210" s="5"/>
      <c r="JW210" s="5"/>
      <c r="JX210" s="5"/>
      <c r="JY210" s="5"/>
      <c r="JZ210" s="5"/>
      <c r="KA210" s="5"/>
      <c r="KB210" s="5"/>
      <c r="KC210" s="5"/>
      <c r="KD210" s="5"/>
      <c r="KE210" s="5"/>
      <c r="KF210" s="5"/>
      <c r="KG210" s="5"/>
      <c r="KH210" s="5"/>
      <c r="KI210" s="5"/>
      <c r="KJ210" s="5"/>
      <c r="KK210" s="5"/>
      <c r="KL210" s="5"/>
      <c r="KM210" s="5"/>
      <c r="KN210" s="5"/>
      <c r="KO210" s="5"/>
      <c r="KP210" s="5"/>
      <c r="KQ210" s="5"/>
      <c r="KR210" s="5"/>
      <c r="KS210" s="5"/>
      <c r="KT210" s="5"/>
      <c r="KU210" s="5"/>
      <c r="KV210" s="5"/>
      <c r="KW210" s="5"/>
      <c r="KX210" s="5"/>
      <c r="KY210" s="5"/>
      <c r="KZ210" s="5"/>
      <c r="LA210" s="5"/>
      <c r="LB210" s="5"/>
      <c r="LC210" s="5"/>
      <c r="LD210" s="5"/>
      <c r="LE210" s="5"/>
      <c r="LF210" s="5"/>
      <c r="LG210" s="5"/>
      <c r="LH210" s="5"/>
      <c r="LI210" s="5"/>
      <c r="LJ210" s="5"/>
      <c r="LK210" s="5"/>
      <c r="LL210" s="5"/>
      <c r="LM210" s="5"/>
      <c r="LN210" s="5"/>
      <c r="LO210" s="5"/>
      <c r="LP210" s="5"/>
      <c r="LQ210" s="5"/>
      <c r="LR210" s="5"/>
      <c r="LS210" s="5"/>
      <c r="LT210" s="5"/>
      <c r="LU210" s="5"/>
      <c r="LV210" s="5"/>
      <c r="LW210" s="5"/>
      <c r="LX210" s="5"/>
      <c r="LY210" s="5"/>
      <c r="LZ210" s="5"/>
      <c r="MA210" s="5"/>
      <c r="MB210" s="5"/>
      <c r="MC210" s="5"/>
      <c r="MD210" s="5"/>
      <c r="ME210" s="5"/>
      <c r="MF210" s="5"/>
      <c r="MG210" s="5"/>
      <c r="MH210" s="5"/>
      <c r="MI210" s="5"/>
      <c r="MJ210" s="5"/>
      <c r="MK210" s="5"/>
      <c r="ML210" s="5"/>
      <c r="MM210" s="5"/>
      <c r="MN210" s="5"/>
      <c r="MO210" s="5"/>
      <c r="MP210" s="5"/>
      <c r="MQ210" s="5"/>
      <c r="MR210" s="5"/>
      <c r="MS210" s="5"/>
      <c r="MT210" s="5"/>
      <c r="MU210" s="5"/>
      <c r="MV210" s="5"/>
      <c r="MW210" s="5"/>
      <c r="MX210" s="5"/>
      <c r="MY210" s="5"/>
      <c r="MZ210" s="5"/>
      <c r="NA210" s="5"/>
      <c r="NB210" s="5"/>
      <c r="NC210" s="5"/>
      <c r="ND210" s="5"/>
      <c r="NE210" s="5"/>
      <c r="NF210" s="5"/>
      <c r="NG210" s="5"/>
      <c r="NH210" s="5"/>
      <c r="NI210" s="5"/>
      <c r="NJ210" s="5"/>
      <c r="NK210" s="5"/>
      <c r="NL210" s="5"/>
      <c r="NM210" s="5"/>
      <c r="NN210" s="5"/>
      <c r="NO210" s="5"/>
      <c r="NP210" s="5"/>
      <c r="NQ210" s="5"/>
      <c r="NR210" s="5"/>
      <c r="NS210" s="5"/>
      <c r="NT210" s="5"/>
      <c r="NU210" s="5"/>
      <c r="NV210" s="5"/>
      <c r="NW210" s="5"/>
      <c r="NX210" s="5"/>
      <c r="NY210" s="5"/>
      <c r="NZ210" s="5"/>
      <c r="OA210" s="5"/>
      <c r="OB210" s="5"/>
      <c r="OC210" s="5"/>
      <c r="OD210" s="5"/>
      <c r="OE210" s="5"/>
      <c r="OF210" s="5"/>
      <c r="OG210" s="5"/>
      <c r="OH210" s="5"/>
      <c r="OI210" s="5"/>
      <c r="OJ210" s="5"/>
      <c r="OK210" s="5"/>
      <c r="OL210" s="5"/>
      <c r="OM210" s="5"/>
      <c r="ON210" s="5"/>
      <c r="OO210" s="5"/>
      <c r="OP210" s="5"/>
      <c r="OQ210" s="5"/>
      <c r="OR210" s="5"/>
      <c r="OS210" s="5"/>
      <c r="OT210" s="5"/>
      <c r="OU210" s="5"/>
      <c r="OV210" s="5"/>
      <c r="OW210" s="5"/>
      <c r="OX210" s="5"/>
      <c r="OY210" s="5"/>
      <c r="OZ210" s="5"/>
      <c r="PA210" s="5"/>
      <c r="PB210" s="5"/>
      <c r="PC210" s="5"/>
      <c r="PD210" s="5"/>
      <c r="PE210" s="5"/>
      <c r="PF210" s="5"/>
      <c r="PG210" s="5"/>
      <c r="PH210" s="5"/>
      <c r="PI210" s="5"/>
      <c r="PJ210" s="5"/>
      <c r="PK210" s="5"/>
      <c r="PL210" s="5"/>
      <c r="PM210" s="5"/>
      <c r="PN210" s="5"/>
      <c r="PO210" s="5"/>
      <c r="PP210" s="5"/>
      <c r="PQ210" s="5"/>
      <c r="PR210" s="5"/>
      <c r="PS210" s="5"/>
      <c r="PT210" s="5"/>
      <c r="PU210" s="5"/>
      <c r="PV210" s="5"/>
      <c r="PW210" s="5"/>
      <c r="PX210" s="5"/>
      <c r="PY210" s="5"/>
      <c r="PZ210" s="5"/>
      <c r="QA210" s="5"/>
      <c r="QB210" s="5"/>
      <c r="QC210" s="5"/>
      <c r="QD210" s="5"/>
      <c r="QE210" s="5"/>
      <c r="QF210" s="5"/>
      <c r="QG210" s="5"/>
      <c r="QH210" s="5"/>
      <c r="QI210" s="5"/>
      <c r="QJ210" s="5"/>
      <c r="QK210" s="5"/>
      <c r="QL210" s="5"/>
      <c r="QM210" s="5"/>
      <c r="QN210" s="5"/>
      <c r="QO210" s="5"/>
      <c r="QP210" s="5"/>
      <c r="QQ210" s="5"/>
      <c r="QR210" s="5"/>
      <c r="QS210" s="5"/>
      <c r="QT210" s="5"/>
      <c r="QU210" s="5"/>
      <c r="QV210" s="5"/>
      <c r="QW210" s="5"/>
      <c r="QX210" s="5"/>
      <c r="QY210" s="5"/>
      <c r="QZ210" s="5"/>
      <c r="RA210" s="5"/>
      <c r="RB210" s="5"/>
      <c r="RC210" s="5"/>
      <c r="RD210" s="5"/>
      <c r="RE210" s="5"/>
      <c r="RF210" s="5"/>
      <c r="RG210" s="5"/>
      <c r="RH210" s="5"/>
      <c r="RI210" s="5"/>
      <c r="RJ210" s="5"/>
      <c r="RK210" s="5"/>
      <c r="RL210" s="5"/>
      <c r="RM210" s="5"/>
      <c r="RN210" s="5"/>
      <c r="RO210" s="5"/>
      <c r="RP210" s="5"/>
      <c r="RQ210" s="5"/>
      <c r="RR210" s="5"/>
      <c r="RS210" s="5"/>
      <c r="RT210" s="5"/>
      <c r="RU210" s="5"/>
      <c r="RV210" s="5"/>
      <c r="RW210" s="5"/>
      <c r="RX210" s="5"/>
      <c r="RY210" s="5"/>
      <c r="RZ210" s="5"/>
      <c r="SA210" s="5"/>
      <c r="SB210" s="5"/>
      <c r="SC210" s="5"/>
      <c r="SD210" s="5"/>
      <c r="SE210" s="5"/>
      <c r="SF210" s="5"/>
      <c r="SG210" s="5"/>
      <c r="SH210" s="5"/>
      <c r="SI210" s="5"/>
      <c r="SJ210" s="5"/>
      <c r="SK210" s="5"/>
      <c r="SL210" s="5"/>
      <c r="SM210" s="5"/>
      <c r="SN210" s="5"/>
      <c r="SO210" s="5"/>
      <c r="SP210" s="5"/>
      <c r="SQ210" s="5"/>
      <c r="SR210" s="5"/>
      <c r="SS210" s="5"/>
      <c r="ST210" s="5"/>
      <c r="SU210" s="5"/>
      <c r="SV210" s="5"/>
      <c r="SW210" s="5"/>
      <c r="SX210" s="5"/>
      <c r="SY210" s="5"/>
      <c r="SZ210" s="5"/>
      <c r="TA210" s="5"/>
      <c r="TB210" s="5"/>
      <c r="TC210" s="5"/>
      <c r="TD210" s="5"/>
      <c r="TE210" s="5"/>
      <c r="TF210" s="5"/>
      <c r="TG210" s="5"/>
      <c r="TH210" s="5"/>
      <c r="TI210" s="5"/>
      <c r="TJ210" s="5"/>
      <c r="TK210" s="5"/>
      <c r="TL210" s="5"/>
      <c r="TM210" s="5"/>
      <c r="TN210" s="5"/>
      <c r="TO210" s="5"/>
      <c r="TP210" s="5"/>
      <c r="TQ210" s="5"/>
      <c r="TR210" s="5"/>
      <c r="TS210" s="5"/>
      <c r="TT210" s="5"/>
      <c r="TU210" s="5"/>
      <c r="TV210" s="5"/>
      <c r="TW210" s="5"/>
      <c r="TX210" s="5"/>
      <c r="TY210" s="5"/>
      <c r="TZ210" s="5"/>
      <c r="UA210" s="5"/>
      <c r="UB210" s="5"/>
      <c r="UC210" s="5"/>
      <c r="UD210" s="5"/>
      <c r="UE210" s="5"/>
      <c r="UF210" s="5"/>
      <c r="UG210" s="5"/>
      <c r="UH210" s="5"/>
      <c r="UI210" s="5"/>
      <c r="UJ210" s="5"/>
      <c r="UK210" s="5"/>
      <c r="UL210" s="5"/>
      <c r="UM210" s="5"/>
      <c r="UN210" s="5"/>
      <c r="UO210" s="5"/>
      <c r="UP210" s="5"/>
      <c r="UQ210" s="5"/>
      <c r="UR210" s="5"/>
      <c r="US210" s="5"/>
      <c r="UT210" s="5"/>
      <c r="UU210" s="5"/>
      <c r="UV210" s="5"/>
      <c r="UW210" s="5"/>
      <c r="UX210" s="5"/>
      <c r="UY210" s="5"/>
      <c r="UZ210" s="5"/>
      <c r="VA210" s="5"/>
      <c r="VB210" s="5"/>
      <c r="VC210" s="5"/>
      <c r="VD210" s="5"/>
      <c r="VE210" s="5"/>
      <c r="VF210" s="5"/>
      <c r="VG210" s="5"/>
      <c r="VH210" s="5"/>
      <c r="VI210" s="5"/>
      <c r="VJ210" s="5"/>
      <c r="VK210" s="5"/>
      <c r="VL210" s="5"/>
      <c r="VM210" s="5"/>
      <c r="VN210" s="5"/>
      <c r="VO210" s="5"/>
      <c r="VP210" s="5"/>
      <c r="VQ210" s="5"/>
      <c r="VR210" s="5"/>
      <c r="VS210" s="5"/>
      <c r="VT210" s="5"/>
    </row>
    <row r="211" spans="1:592" s="32" customFormat="1" x14ac:dyDescent="0.2">
      <c r="A211" s="10" t="s">
        <v>447</v>
      </c>
      <c r="B211" s="11">
        <v>26671468</v>
      </c>
      <c r="C211" s="11" t="s">
        <v>288</v>
      </c>
      <c r="D211" s="11">
        <v>5091362</v>
      </c>
      <c r="E211" s="225" t="s">
        <v>297</v>
      </c>
      <c r="F211" s="192" t="s">
        <v>269</v>
      </c>
      <c r="G211" s="201">
        <f>IFERROR(VLOOKUP(D211,List1!$A$5:$B$227,2,FALSE),"0")</f>
        <v>1083000</v>
      </c>
      <c r="H211" s="41" t="str">
        <f>IFERROR(VLOOKUP(D211,List1!$D$5:$E$41,2,FALSE),"0")</f>
        <v>0</v>
      </c>
      <c r="I211" s="41">
        <f>IFERROR(VLOOKUP(D211,List1!$G$5:$H$227,2,FALSE),"0")</f>
        <v>116700</v>
      </c>
      <c r="J211" s="40">
        <f t="shared" si="26"/>
        <v>1199700</v>
      </c>
      <c r="K211" s="41" t="str">
        <f>IFERROR(VLOOKUP(D211,List1!$J$5:$K$227,2,FALSE),"0")</f>
        <v>0</v>
      </c>
      <c r="L211" s="41" t="str">
        <f>IFERROR(VLOOKUP(D211,List1!$M$5:$N$112,2,FALSE),"0")</f>
        <v>0</v>
      </c>
      <c r="M211" s="43">
        <v>0</v>
      </c>
      <c r="N211" s="80">
        <f>VLOOKUP($D$5:$D$251,List2!$A$2:$B$241,2,FALSE)</f>
        <v>74000</v>
      </c>
      <c r="O211" s="80">
        <f>IFERROR(VLOOKUP($D$5:$D$260,List1!$Y$5:$Z$244,2,FALSE),0)</f>
        <v>0</v>
      </c>
      <c r="P211" s="202">
        <f>IFERROR(VLOOKUP($D$5:$D$260,List1!$AB$5:$AC$244,2,FALSE),0)</f>
        <v>0</v>
      </c>
      <c r="Q211" s="201">
        <f>IFERROR(VLOOKUP($D$5:$D$260,List1!$S$5:$T$231,2,FALSE),0)</f>
        <v>892504</v>
      </c>
      <c r="R211" s="41">
        <v>0</v>
      </c>
      <c r="S211" s="41">
        <f>IFERROR(VLOOKUP($D$5:$D$260,List1!$AE$5:$AF$231,2,FALSE),0)</f>
        <v>200000</v>
      </c>
      <c r="T211" s="41">
        <f t="shared" si="27"/>
        <v>1092504</v>
      </c>
      <c r="U211" s="41" t="str">
        <f>IFERROR(VLOOKUP(D211,List1!$P$5:$Q$110,2,FALSE),"0")</f>
        <v>0</v>
      </c>
      <c r="V211" s="41">
        <v>0</v>
      </c>
      <c r="W211" s="248">
        <v>0</v>
      </c>
      <c r="X211" s="211">
        <f t="shared" si="28"/>
        <v>1092504</v>
      </c>
      <c r="Y211" s="219"/>
      <c r="Z211" s="80">
        <f>IFERROR(VLOOKUP($D$5:$D$260,#REF!,3,FALSE),0)</f>
        <v>0</v>
      </c>
      <c r="AA211" s="80">
        <f>IFERROR(VLOOKUP($D$5:$D$260,#REF!,3,FALSE),0)</f>
        <v>0</v>
      </c>
      <c r="AB211" s="243">
        <v>0</v>
      </c>
      <c r="AC211" s="202">
        <f t="shared" si="29"/>
        <v>0</v>
      </c>
      <c r="AD211" s="259">
        <f t="shared" si="30"/>
        <v>0</v>
      </c>
      <c r="AE211" s="260">
        <f t="shared" si="31"/>
        <v>0</v>
      </c>
      <c r="AF211" s="260">
        <f t="shared" si="32"/>
        <v>0</v>
      </c>
      <c r="AG211" s="260">
        <f t="shared" si="33"/>
        <v>0</v>
      </c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31"/>
      <c r="CC211" s="31"/>
      <c r="CD211" s="31"/>
      <c r="CE211" s="31"/>
      <c r="CF211" s="31"/>
      <c r="CG211" s="31"/>
      <c r="CH211" s="31"/>
      <c r="CI211" s="31"/>
      <c r="CJ211" s="31"/>
      <c r="CK211" s="31"/>
      <c r="CL211" s="31"/>
      <c r="CM211" s="31"/>
      <c r="CN211" s="31"/>
      <c r="CO211" s="31"/>
      <c r="CP211" s="31"/>
      <c r="CQ211" s="31"/>
      <c r="CR211" s="31"/>
      <c r="CS211" s="31"/>
      <c r="CT211" s="31"/>
      <c r="CU211" s="31"/>
      <c r="CV211" s="31"/>
      <c r="CW211" s="31"/>
      <c r="CX211" s="31"/>
      <c r="CY211" s="31"/>
      <c r="CZ211" s="31"/>
      <c r="DA211" s="31"/>
      <c r="DB211" s="31"/>
      <c r="DC211" s="31"/>
      <c r="DD211" s="31"/>
      <c r="DE211" s="31"/>
      <c r="DF211" s="31"/>
      <c r="DG211" s="31"/>
      <c r="DH211" s="31"/>
      <c r="DI211" s="31"/>
      <c r="DJ211" s="31"/>
      <c r="DK211" s="31"/>
      <c r="DL211" s="31"/>
      <c r="DM211" s="31"/>
      <c r="DN211" s="31"/>
      <c r="DO211" s="31"/>
      <c r="DP211" s="31"/>
      <c r="DQ211" s="31"/>
      <c r="DR211" s="31"/>
      <c r="DS211" s="31"/>
      <c r="DT211" s="31"/>
      <c r="DU211" s="31"/>
      <c r="DV211" s="31"/>
      <c r="DW211" s="31"/>
      <c r="DX211" s="31"/>
      <c r="DY211" s="31"/>
      <c r="DZ211" s="31"/>
      <c r="EA211" s="31"/>
      <c r="EB211" s="31"/>
      <c r="EC211" s="31"/>
      <c r="ED211" s="31"/>
      <c r="EE211" s="31"/>
      <c r="EF211" s="31"/>
      <c r="EG211" s="31"/>
      <c r="EH211" s="31"/>
      <c r="EI211" s="31"/>
      <c r="EJ211" s="31"/>
      <c r="EK211" s="31"/>
      <c r="EL211" s="31"/>
      <c r="EM211" s="31"/>
      <c r="EN211" s="31"/>
      <c r="EO211" s="31"/>
      <c r="EP211" s="31"/>
      <c r="EQ211" s="31"/>
      <c r="ER211" s="31"/>
      <c r="ES211" s="31"/>
      <c r="ET211" s="31"/>
      <c r="EU211" s="31"/>
      <c r="EV211" s="31"/>
      <c r="EW211" s="31"/>
      <c r="EX211" s="31"/>
      <c r="EY211" s="31"/>
      <c r="EZ211" s="31"/>
      <c r="FA211" s="31"/>
      <c r="FB211" s="31"/>
      <c r="FC211" s="31"/>
      <c r="FD211" s="31"/>
      <c r="FE211" s="31"/>
      <c r="FF211" s="31"/>
      <c r="FG211" s="31"/>
      <c r="FH211" s="31"/>
      <c r="FI211" s="31"/>
      <c r="FJ211" s="31"/>
      <c r="FK211" s="31"/>
      <c r="FL211" s="31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  <c r="HI211" s="31"/>
      <c r="HJ211" s="31"/>
      <c r="HK211" s="31"/>
      <c r="HL211" s="31"/>
      <c r="HM211" s="31"/>
      <c r="HN211" s="31"/>
      <c r="HO211" s="31"/>
      <c r="HP211" s="31"/>
      <c r="HQ211" s="31"/>
      <c r="HR211" s="31"/>
      <c r="HS211" s="31"/>
      <c r="HT211" s="31"/>
      <c r="HU211" s="31"/>
      <c r="HV211" s="31"/>
      <c r="HW211" s="31"/>
      <c r="HX211" s="31"/>
      <c r="HY211" s="31"/>
      <c r="HZ211" s="31"/>
      <c r="IA211" s="31"/>
      <c r="IB211" s="31"/>
      <c r="IC211" s="31"/>
      <c r="ID211" s="31"/>
      <c r="IE211" s="31"/>
      <c r="IF211" s="31"/>
      <c r="IG211" s="31"/>
      <c r="IH211" s="31"/>
      <c r="II211" s="31"/>
      <c r="IJ211" s="31"/>
      <c r="IK211" s="31"/>
      <c r="IL211" s="31"/>
      <c r="IM211" s="31"/>
      <c r="IN211" s="31"/>
      <c r="IO211" s="31"/>
      <c r="IP211" s="31"/>
      <c r="IQ211" s="31"/>
      <c r="IR211" s="31"/>
      <c r="IS211" s="31"/>
      <c r="IT211" s="31"/>
      <c r="IU211" s="31"/>
      <c r="IV211" s="31"/>
      <c r="IW211" s="31"/>
      <c r="IX211" s="31"/>
      <c r="IY211" s="31"/>
      <c r="IZ211" s="31"/>
      <c r="JA211" s="31"/>
      <c r="JB211" s="31"/>
      <c r="JC211" s="31"/>
      <c r="JD211" s="31"/>
      <c r="JE211" s="31"/>
      <c r="JF211" s="31"/>
      <c r="JG211" s="31"/>
      <c r="JH211" s="31"/>
      <c r="JI211" s="31"/>
      <c r="JJ211" s="31"/>
      <c r="JK211" s="31"/>
      <c r="JL211" s="31"/>
      <c r="JM211" s="31"/>
      <c r="JN211" s="31"/>
      <c r="JO211" s="31"/>
      <c r="JP211" s="31"/>
      <c r="JQ211" s="31"/>
      <c r="JR211" s="31"/>
      <c r="JS211" s="31"/>
      <c r="JT211" s="31"/>
      <c r="JU211" s="31"/>
      <c r="JV211" s="31"/>
      <c r="JW211" s="31"/>
      <c r="JX211" s="31"/>
      <c r="JY211" s="31"/>
      <c r="JZ211" s="31"/>
      <c r="KA211" s="31"/>
      <c r="KB211" s="31"/>
      <c r="KC211" s="31"/>
      <c r="KD211" s="31"/>
      <c r="KE211" s="31"/>
      <c r="KF211" s="31"/>
      <c r="KG211" s="31"/>
      <c r="KH211" s="31"/>
      <c r="KI211" s="31"/>
      <c r="KJ211" s="31"/>
      <c r="KK211" s="31"/>
      <c r="KL211" s="31"/>
      <c r="KM211" s="31"/>
      <c r="KN211" s="31"/>
      <c r="KO211" s="31"/>
      <c r="KP211" s="31"/>
      <c r="KQ211" s="31"/>
      <c r="KR211" s="31"/>
      <c r="KS211" s="31"/>
      <c r="KT211" s="31"/>
      <c r="KU211" s="31"/>
      <c r="KV211" s="31"/>
      <c r="KW211" s="31"/>
      <c r="KX211" s="31"/>
      <c r="KY211" s="31"/>
      <c r="KZ211" s="31"/>
      <c r="LA211" s="31"/>
      <c r="LB211" s="31"/>
      <c r="LC211" s="31"/>
      <c r="LD211" s="31"/>
      <c r="LE211" s="31"/>
      <c r="LF211" s="31"/>
      <c r="LG211" s="31"/>
      <c r="LH211" s="31"/>
      <c r="LI211" s="31"/>
      <c r="LJ211" s="31"/>
      <c r="LK211" s="31"/>
      <c r="LL211" s="31"/>
      <c r="LM211" s="31"/>
      <c r="LN211" s="31"/>
      <c r="LO211" s="31"/>
      <c r="LP211" s="31"/>
      <c r="LQ211" s="31"/>
      <c r="LR211" s="31"/>
      <c r="LS211" s="31"/>
      <c r="LT211" s="31"/>
      <c r="LU211" s="31"/>
      <c r="LV211" s="31"/>
      <c r="LW211" s="31"/>
      <c r="LX211" s="31"/>
      <c r="LY211" s="31"/>
      <c r="LZ211" s="31"/>
      <c r="MA211" s="31"/>
      <c r="MB211" s="31"/>
      <c r="MC211" s="31"/>
      <c r="MD211" s="31"/>
      <c r="ME211" s="31"/>
      <c r="MF211" s="31"/>
      <c r="MG211" s="31"/>
      <c r="MH211" s="31"/>
      <c r="MI211" s="31"/>
      <c r="MJ211" s="31"/>
      <c r="MK211" s="31"/>
      <c r="ML211" s="31"/>
      <c r="MM211" s="31"/>
      <c r="MN211" s="31"/>
      <c r="MO211" s="31"/>
      <c r="MP211" s="31"/>
      <c r="MQ211" s="31"/>
      <c r="MR211" s="31"/>
      <c r="MS211" s="31"/>
      <c r="MT211" s="31"/>
      <c r="MU211" s="31"/>
      <c r="MV211" s="31"/>
      <c r="MW211" s="31"/>
      <c r="MX211" s="31"/>
      <c r="MY211" s="31"/>
      <c r="MZ211" s="31"/>
      <c r="NA211" s="31"/>
      <c r="NB211" s="31"/>
      <c r="NC211" s="31"/>
      <c r="ND211" s="31"/>
      <c r="NE211" s="31"/>
      <c r="NF211" s="31"/>
      <c r="NG211" s="31"/>
      <c r="NH211" s="31"/>
      <c r="NI211" s="31"/>
      <c r="NJ211" s="31"/>
      <c r="NK211" s="31"/>
      <c r="NL211" s="31"/>
      <c r="NM211" s="31"/>
      <c r="NN211" s="31"/>
      <c r="NO211" s="31"/>
      <c r="NP211" s="31"/>
      <c r="NQ211" s="31"/>
      <c r="NR211" s="31"/>
      <c r="NS211" s="31"/>
      <c r="NT211" s="31"/>
      <c r="NU211" s="31"/>
      <c r="NV211" s="31"/>
      <c r="NW211" s="31"/>
      <c r="NX211" s="31"/>
      <c r="NY211" s="31"/>
      <c r="NZ211" s="31"/>
      <c r="OA211" s="31"/>
      <c r="OB211" s="31"/>
      <c r="OC211" s="31"/>
      <c r="OD211" s="31"/>
      <c r="OE211" s="31"/>
      <c r="OF211" s="31"/>
      <c r="OG211" s="31"/>
      <c r="OH211" s="31"/>
      <c r="OI211" s="31"/>
      <c r="OJ211" s="31"/>
      <c r="OK211" s="31"/>
      <c r="OL211" s="31"/>
      <c r="OM211" s="31"/>
      <c r="ON211" s="31"/>
      <c r="OO211" s="31"/>
      <c r="OP211" s="31"/>
      <c r="OQ211" s="31"/>
      <c r="OR211" s="31"/>
      <c r="OS211" s="31"/>
      <c r="OT211" s="31"/>
      <c r="OU211" s="31"/>
      <c r="OV211" s="31"/>
      <c r="OW211" s="31"/>
      <c r="OX211" s="31"/>
      <c r="OY211" s="31"/>
      <c r="OZ211" s="31"/>
      <c r="PA211" s="31"/>
      <c r="PB211" s="31"/>
      <c r="PC211" s="31"/>
      <c r="PD211" s="31"/>
      <c r="PE211" s="31"/>
      <c r="PF211" s="31"/>
      <c r="PG211" s="31"/>
      <c r="PH211" s="31"/>
      <c r="PI211" s="31"/>
      <c r="PJ211" s="31"/>
      <c r="PK211" s="31"/>
      <c r="PL211" s="31"/>
      <c r="PM211" s="31"/>
      <c r="PN211" s="31"/>
      <c r="PO211" s="31"/>
      <c r="PP211" s="31"/>
      <c r="PQ211" s="31"/>
      <c r="PR211" s="31"/>
      <c r="PS211" s="31"/>
      <c r="PT211" s="31"/>
      <c r="PU211" s="31"/>
      <c r="PV211" s="31"/>
      <c r="PW211" s="31"/>
      <c r="PX211" s="31"/>
      <c r="PY211" s="31"/>
      <c r="PZ211" s="31"/>
      <c r="QA211" s="31"/>
      <c r="QB211" s="31"/>
      <c r="QC211" s="31"/>
      <c r="QD211" s="31"/>
      <c r="QE211" s="31"/>
      <c r="QF211" s="31"/>
      <c r="QG211" s="31"/>
      <c r="QH211" s="31"/>
      <c r="QI211" s="31"/>
      <c r="QJ211" s="31"/>
      <c r="QK211" s="31"/>
      <c r="QL211" s="31"/>
      <c r="QM211" s="31"/>
      <c r="QN211" s="31"/>
      <c r="QO211" s="31"/>
      <c r="QP211" s="31"/>
      <c r="QQ211" s="31"/>
      <c r="QR211" s="31"/>
      <c r="QS211" s="31"/>
      <c r="QT211" s="31"/>
      <c r="QU211" s="31"/>
      <c r="QV211" s="31"/>
      <c r="QW211" s="31"/>
      <c r="QX211" s="31"/>
      <c r="QY211" s="31"/>
      <c r="QZ211" s="31"/>
      <c r="RA211" s="31"/>
      <c r="RB211" s="31"/>
      <c r="RC211" s="31"/>
      <c r="RD211" s="31"/>
      <c r="RE211" s="31"/>
      <c r="RF211" s="31"/>
      <c r="RG211" s="31"/>
      <c r="RH211" s="31"/>
      <c r="RI211" s="31"/>
      <c r="RJ211" s="31"/>
      <c r="RK211" s="31"/>
      <c r="RL211" s="31"/>
      <c r="RM211" s="31"/>
      <c r="RN211" s="31"/>
      <c r="RO211" s="31"/>
      <c r="RP211" s="31"/>
      <c r="RQ211" s="31"/>
      <c r="RR211" s="31"/>
      <c r="RS211" s="31"/>
      <c r="RT211" s="31"/>
      <c r="RU211" s="31"/>
      <c r="RV211" s="31"/>
      <c r="RW211" s="31"/>
      <c r="RX211" s="31"/>
      <c r="RY211" s="31"/>
      <c r="RZ211" s="31"/>
      <c r="SA211" s="31"/>
      <c r="SB211" s="31"/>
      <c r="SC211" s="31"/>
      <c r="SD211" s="31"/>
      <c r="SE211" s="31"/>
      <c r="SF211" s="31"/>
      <c r="SG211" s="31"/>
      <c r="SH211" s="31"/>
      <c r="SI211" s="31"/>
      <c r="SJ211" s="31"/>
      <c r="SK211" s="31"/>
      <c r="SL211" s="31"/>
      <c r="SM211" s="31"/>
      <c r="SN211" s="31"/>
      <c r="SO211" s="31"/>
      <c r="SP211" s="31"/>
      <c r="SQ211" s="31"/>
      <c r="SR211" s="31"/>
      <c r="SS211" s="31"/>
      <c r="ST211" s="31"/>
      <c r="SU211" s="31"/>
      <c r="SV211" s="31"/>
      <c r="SW211" s="31"/>
      <c r="SX211" s="31"/>
      <c r="SY211" s="31"/>
      <c r="SZ211" s="31"/>
      <c r="TA211" s="31"/>
      <c r="TB211" s="31"/>
      <c r="TC211" s="31"/>
      <c r="TD211" s="31"/>
      <c r="TE211" s="31"/>
      <c r="TF211" s="31"/>
      <c r="TG211" s="31"/>
      <c r="TH211" s="31"/>
      <c r="TI211" s="31"/>
      <c r="TJ211" s="31"/>
      <c r="TK211" s="31"/>
      <c r="TL211" s="31"/>
      <c r="TM211" s="31"/>
      <c r="TN211" s="31"/>
      <c r="TO211" s="31"/>
      <c r="TP211" s="31"/>
      <c r="TQ211" s="31"/>
      <c r="TR211" s="31"/>
      <c r="TS211" s="31"/>
      <c r="TT211" s="31"/>
      <c r="TU211" s="31"/>
      <c r="TV211" s="31"/>
      <c r="TW211" s="31"/>
      <c r="TX211" s="31"/>
      <c r="TY211" s="31"/>
      <c r="TZ211" s="31"/>
      <c r="UA211" s="31"/>
      <c r="UB211" s="31"/>
      <c r="UC211" s="31"/>
      <c r="UD211" s="31"/>
      <c r="UE211" s="31"/>
      <c r="UF211" s="31"/>
      <c r="UG211" s="31"/>
      <c r="UH211" s="31"/>
      <c r="UI211" s="31"/>
      <c r="UJ211" s="31"/>
      <c r="UK211" s="31"/>
      <c r="UL211" s="31"/>
      <c r="UM211" s="31"/>
      <c r="UN211" s="31"/>
      <c r="UO211" s="31"/>
      <c r="UP211" s="31"/>
      <c r="UQ211" s="31"/>
      <c r="UR211" s="31"/>
      <c r="US211" s="31"/>
      <c r="UT211" s="31"/>
      <c r="UU211" s="31"/>
      <c r="UV211" s="31"/>
      <c r="UW211" s="31"/>
      <c r="UX211" s="31"/>
      <c r="UY211" s="31"/>
      <c r="UZ211" s="31"/>
      <c r="VA211" s="31"/>
      <c r="VB211" s="31"/>
      <c r="VC211" s="31"/>
      <c r="VD211" s="31"/>
      <c r="VE211" s="31"/>
      <c r="VF211" s="31"/>
      <c r="VG211" s="31"/>
      <c r="VH211" s="31"/>
      <c r="VI211" s="31"/>
      <c r="VJ211" s="31"/>
      <c r="VK211" s="31"/>
      <c r="VL211" s="31"/>
      <c r="VM211" s="31"/>
      <c r="VN211" s="31"/>
      <c r="VO211" s="31"/>
      <c r="VP211" s="31"/>
      <c r="VQ211" s="31"/>
      <c r="VR211" s="31"/>
      <c r="VS211" s="31"/>
      <c r="VT211" s="31"/>
    </row>
    <row r="212" spans="1:592" s="33" customFormat="1" ht="21" customHeight="1" x14ac:dyDescent="0.2">
      <c r="A212" s="10" t="s">
        <v>448</v>
      </c>
      <c r="B212" s="15" t="s">
        <v>449</v>
      </c>
      <c r="C212" s="11" t="s">
        <v>296</v>
      </c>
      <c r="D212" s="11">
        <v>3145588</v>
      </c>
      <c r="E212" s="225" t="s">
        <v>283</v>
      </c>
      <c r="F212" s="192" t="s">
        <v>278</v>
      </c>
      <c r="G212" s="201">
        <f>IFERROR(VLOOKUP(D212,List1!$A$5:$B$227,2,FALSE),"0")</f>
        <v>754000</v>
      </c>
      <c r="H212" s="41" t="str">
        <f>IFERROR(VLOOKUP(D212,List1!$D$5:$E$41,2,FALSE),"0")</f>
        <v>0</v>
      </c>
      <c r="I212" s="41">
        <f>IFERROR(VLOOKUP(D212,List1!$G$5:$H$227,2,FALSE),"0")</f>
        <v>54000</v>
      </c>
      <c r="J212" s="40">
        <f t="shared" si="26"/>
        <v>808000</v>
      </c>
      <c r="K212" s="41" t="str">
        <f>IFERROR(VLOOKUP(D212,List1!$J$5:$K$227,2,FALSE),"0")</f>
        <v>0</v>
      </c>
      <c r="L212" s="41" t="str">
        <f>IFERROR(VLOOKUP(D212,List1!$M$5:$N$112,2,FALSE),"0")</f>
        <v>0</v>
      </c>
      <c r="M212" s="43">
        <v>0</v>
      </c>
      <c r="N212" s="80">
        <f>VLOOKUP($D$5:$D$251,List2!$A$2:$B$241,2,FALSE)</f>
        <v>4000</v>
      </c>
      <c r="O212" s="80">
        <f>IFERROR(VLOOKUP($D$5:$D$260,List1!$Y$5:$Z$244,2,FALSE),0)</f>
        <v>805111.99</v>
      </c>
      <c r="P212" s="202">
        <f>IFERROR(VLOOKUP($D$5:$D$260,List1!$AB$5:$AC$244,2,FALSE),0)</f>
        <v>0</v>
      </c>
      <c r="Q212" s="201">
        <f>IFERROR(VLOOKUP($D$5:$D$260,List1!$S$5:$T$231,2,FALSE),0)</f>
        <v>755787</v>
      </c>
      <c r="R212" s="41">
        <v>0</v>
      </c>
      <c r="S212" s="41">
        <f>IFERROR(VLOOKUP($D$5:$D$260,List1!$AE$5:$AF$231,2,FALSE),0)</f>
        <v>193844</v>
      </c>
      <c r="T212" s="41">
        <f t="shared" si="27"/>
        <v>949631</v>
      </c>
      <c r="U212" s="41" t="str">
        <f>IFERROR(VLOOKUP(D212,List1!$P$5:$Q$110,2,FALSE),"0")</f>
        <v>0</v>
      </c>
      <c r="V212" s="41">
        <v>0</v>
      </c>
      <c r="W212" s="248">
        <v>0</v>
      </c>
      <c r="X212" s="211">
        <f t="shared" si="28"/>
        <v>949631</v>
      </c>
      <c r="Y212" s="219"/>
      <c r="Z212" s="80">
        <f>IFERROR(VLOOKUP($D$5:$D$260,#REF!,3,FALSE),0)</f>
        <v>0</v>
      </c>
      <c r="AA212" s="80">
        <f>IFERROR(VLOOKUP($D$5:$D$260,#REF!,3,FALSE),0)</f>
        <v>0</v>
      </c>
      <c r="AB212" s="243">
        <v>0</v>
      </c>
      <c r="AC212" s="202">
        <f t="shared" si="29"/>
        <v>0</v>
      </c>
      <c r="AD212" s="259">
        <f t="shared" si="30"/>
        <v>0</v>
      </c>
      <c r="AE212" s="260">
        <f t="shared" si="31"/>
        <v>0</v>
      </c>
      <c r="AF212" s="260">
        <f t="shared" si="32"/>
        <v>0</v>
      </c>
      <c r="AG212" s="260">
        <f t="shared" si="33"/>
        <v>0</v>
      </c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  <c r="IX212" s="5"/>
      <c r="IY212" s="5"/>
      <c r="IZ212" s="5"/>
      <c r="JA212" s="5"/>
      <c r="JB212" s="5"/>
      <c r="JC212" s="5"/>
      <c r="JD212" s="5"/>
      <c r="JE212" s="5"/>
      <c r="JF212" s="5"/>
      <c r="JG212" s="5"/>
      <c r="JH212" s="5"/>
      <c r="JI212" s="5"/>
      <c r="JJ212" s="5"/>
      <c r="JK212" s="5"/>
      <c r="JL212" s="5"/>
      <c r="JM212" s="5"/>
      <c r="JN212" s="5"/>
      <c r="JO212" s="5"/>
      <c r="JP212" s="5"/>
      <c r="JQ212" s="5"/>
      <c r="JR212" s="5"/>
      <c r="JS212" s="5"/>
      <c r="JT212" s="5"/>
      <c r="JU212" s="5"/>
      <c r="JV212" s="5"/>
      <c r="JW212" s="5"/>
      <c r="JX212" s="5"/>
      <c r="JY212" s="5"/>
      <c r="JZ212" s="5"/>
      <c r="KA212" s="5"/>
      <c r="KB212" s="5"/>
      <c r="KC212" s="5"/>
      <c r="KD212" s="5"/>
      <c r="KE212" s="5"/>
      <c r="KF212" s="5"/>
      <c r="KG212" s="5"/>
      <c r="KH212" s="5"/>
      <c r="KI212" s="5"/>
      <c r="KJ212" s="5"/>
      <c r="KK212" s="5"/>
      <c r="KL212" s="5"/>
      <c r="KM212" s="5"/>
      <c r="KN212" s="5"/>
      <c r="KO212" s="5"/>
      <c r="KP212" s="5"/>
      <c r="KQ212" s="5"/>
      <c r="KR212" s="5"/>
      <c r="KS212" s="5"/>
      <c r="KT212" s="5"/>
      <c r="KU212" s="5"/>
      <c r="KV212" s="5"/>
      <c r="KW212" s="5"/>
      <c r="KX212" s="5"/>
      <c r="KY212" s="5"/>
      <c r="KZ212" s="5"/>
      <c r="LA212" s="5"/>
      <c r="LB212" s="5"/>
      <c r="LC212" s="5"/>
      <c r="LD212" s="5"/>
      <c r="LE212" s="5"/>
      <c r="LF212" s="5"/>
      <c r="LG212" s="5"/>
      <c r="LH212" s="5"/>
      <c r="LI212" s="5"/>
      <c r="LJ212" s="5"/>
      <c r="LK212" s="5"/>
      <c r="LL212" s="5"/>
      <c r="LM212" s="5"/>
      <c r="LN212" s="5"/>
      <c r="LO212" s="5"/>
      <c r="LP212" s="5"/>
      <c r="LQ212" s="5"/>
      <c r="LR212" s="5"/>
      <c r="LS212" s="5"/>
      <c r="LT212" s="5"/>
      <c r="LU212" s="5"/>
      <c r="LV212" s="5"/>
      <c r="LW212" s="5"/>
      <c r="LX212" s="5"/>
      <c r="LY212" s="5"/>
      <c r="LZ212" s="5"/>
      <c r="MA212" s="5"/>
      <c r="MB212" s="5"/>
      <c r="MC212" s="5"/>
      <c r="MD212" s="5"/>
      <c r="ME212" s="5"/>
      <c r="MF212" s="5"/>
      <c r="MG212" s="5"/>
      <c r="MH212" s="5"/>
      <c r="MI212" s="5"/>
      <c r="MJ212" s="5"/>
      <c r="MK212" s="5"/>
      <c r="ML212" s="5"/>
      <c r="MM212" s="5"/>
      <c r="MN212" s="5"/>
      <c r="MO212" s="5"/>
      <c r="MP212" s="5"/>
      <c r="MQ212" s="5"/>
      <c r="MR212" s="5"/>
      <c r="MS212" s="5"/>
      <c r="MT212" s="5"/>
      <c r="MU212" s="5"/>
      <c r="MV212" s="5"/>
      <c r="MW212" s="5"/>
      <c r="MX212" s="5"/>
      <c r="MY212" s="5"/>
      <c r="MZ212" s="5"/>
      <c r="NA212" s="5"/>
      <c r="NB212" s="5"/>
      <c r="NC212" s="5"/>
      <c r="ND212" s="5"/>
      <c r="NE212" s="5"/>
      <c r="NF212" s="5"/>
      <c r="NG212" s="5"/>
      <c r="NH212" s="5"/>
      <c r="NI212" s="5"/>
      <c r="NJ212" s="5"/>
      <c r="NK212" s="5"/>
      <c r="NL212" s="5"/>
      <c r="NM212" s="5"/>
      <c r="NN212" s="5"/>
      <c r="NO212" s="5"/>
      <c r="NP212" s="5"/>
      <c r="NQ212" s="5"/>
      <c r="NR212" s="5"/>
      <c r="NS212" s="5"/>
      <c r="NT212" s="5"/>
      <c r="NU212" s="5"/>
      <c r="NV212" s="5"/>
      <c r="NW212" s="5"/>
      <c r="NX212" s="5"/>
      <c r="NY212" s="5"/>
      <c r="NZ212" s="5"/>
      <c r="OA212" s="5"/>
      <c r="OB212" s="5"/>
      <c r="OC212" s="5"/>
      <c r="OD212" s="5"/>
      <c r="OE212" s="5"/>
      <c r="OF212" s="5"/>
      <c r="OG212" s="5"/>
      <c r="OH212" s="5"/>
      <c r="OI212" s="5"/>
      <c r="OJ212" s="5"/>
      <c r="OK212" s="5"/>
      <c r="OL212" s="5"/>
      <c r="OM212" s="5"/>
      <c r="ON212" s="5"/>
      <c r="OO212" s="5"/>
      <c r="OP212" s="5"/>
      <c r="OQ212" s="5"/>
      <c r="OR212" s="5"/>
      <c r="OS212" s="5"/>
      <c r="OT212" s="5"/>
      <c r="OU212" s="5"/>
      <c r="OV212" s="5"/>
      <c r="OW212" s="5"/>
      <c r="OX212" s="5"/>
      <c r="OY212" s="5"/>
      <c r="OZ212" s="5"/>
      <c r="PA212" s="5"/>
      <c r="PB212" s="5"/>
      <c r="PC212" s="5"/>
      <c r="PD212" s="5"/>
      <c r="PE212" s="5"/>
      <c r="PF212" s="5"/>
      <c r="PG212" s="5"/>
      <c r="PH212" s="5"/>
      <c r="PI212" s="5"/>
      <c r="PJ212" s="5"/>
      <c r="PK212" s="5"/>
      <c r="PL212" s="5"/>
      <c r="PM212" s="5"/>
      <c r="PN212" s="5"/>
      <c r="PO212" s="5"/>
      <c r="PP212" s="5"/>
      <c r="PQ212" s="5"/>
      <c r="PR212" s="5"/>
      <c r="PS212" s="5"/>
      <c r="PT212" s="5"/>
      <c r="PU212" s="5"/>
      <c r="PV212" s="5"/>
      <c r="PW212" s="5"/>
      <c r="PX212" s="5"/>
      <c r="PY212" s="5"/>
      <c r="PZ212" s="5"/>
      <c r="QA212" s="5"/>
      <c r="QB212" s="5"/>
      <c r="QC212" s="5"/>
      <c r="QD212" s="5"/>
      <c r="QE212" s="5"/>
      <c r="QF212" s="5"/>
      <c r="QG212" s="5"/>
      <c r="QH212" s="5"/>
      <c r="QI212" s="5"/>
      <c r="QJ212" s="5"/>
      <c r="QK212" s="5"/>
      <c r="QL212" s="5"/>
      <c r="QM212" s="5"/>
      <c r="QN212" s="5"/>
      <c r="QO212" s="5"/>
      <c r="QP212" s="5"/>
      <c r="QQ212" s="5"/>
      <c r="QR212" s="5"/>
      <c r="QS212" s="5"/>
      <c r="QT212" s="5"/>
      <c r="QU212" s="5"/>
      <c r="QV212" s="5"/>
      <c r="QW212" s="5"/>
      <c r="QX212" s="5"/>
      <c r="QY212" s="5"/>
      <c r="QZ212" s="5"/>
      <c r="RA212" s="5"/>
      <c r="RB212" s="5"/>
      <c r="RC212" s="5"/>
      <c r="RD212" s="5"/>
      <c r="RE212" s="5"/>
      <c r="RF212" s="5"/>
      <c r="RG212" s="5"/>
      <c r="RH212" s="5"/>
      <c r="RI212" s="5"/>
      <c r="RJ212" s="5"/>
      <c r="RK212" s="5"/>
      <c r="RL212" s="5"/>
      <c r="RM212" s="5"/>
      <c r="RN212" s="5"/>
      <c r="RO212" s="5"/>
      <c r="RP212" s="5"/>
      <c r="RQ212" s="5"/>
      <c r="RR212" s="5"/>
      <c r="RS212" s="5"/>
      <c r="RT212" s="5"/>
      <c r="RU212" s="5"/>
      <c r="RV212" s="5"/>
      <c r="RW212" s="5"/>
      <c r="RX212" s="5"/>
      <c r="RY212" s="5"/>
      <c r="RZ212" s="5"/>
      <c r="SA212" s="5"/>
      <c r="SB212" s="5"/>
      <c r="SC212" s="5"/>
      <c r="SD212" s="5"/>
      <c r="SE212" s="5"/>
      <c r="SF212" s="5"/>
      <c r="SG212" s="5"/>
      <c r="SH212" s="5"/>
      <c r="SI212" s="5"/>
      <c r="SJ212" s="5"/>
      <c r="SK212" s="5"/>
      <c r="SL212" s="5"/>
      <c r="SM212" s="5"/>
      <c r="SN212" s="5"/>
      <c r="SO212" s="5"/>
      <c r="SP212" s="5"/>
      <c r="SQ212" s="5"/>
      <c r="SR212" s="5"/>
      <c r="SS212" s="5"/>
      <c r="ST212" s="5"/>
      <c r="SU212" s="5"/>
      <c r="SV212" s="5"/>
      <c r="SW212" s="5"/>
      <c r="SX212" s="5"/>
      <c r="SY212" s="5"/>
      <c r="SZ212" s="5"/>
      <c r="TA212" s="5"/>
      <c r="TB212" s="5"/>
      <c r="TC212" s="5"/>
      <c r="TD212" s="5"/>
      <c r="TE212" s="5"/>
      <c r="TF212" s="5"/>
      <c r="TG212" s="5"/>
      <c r="TH212" s="5"/>
      <c r="TI212" s="5"/>
      <c r="TJ212" s="5"/>
      <c r="TK212" s="5"/>
      <c r="TL212" s="5"/>
      <c r="TM212" s="5"/>
      <c r="TN212" s="5"/>
      <c r="TO212" s="5"/>
      <c r="TP212" s="5"/>
      <c r="TQ212" s="5"/>
      <c r="TR212" s="5"/>
      <c r="TS212" s="5"/>
      <c r="TT212" s="5"/>
      <c r="TU212" s="5"/>
      <c r="TV212" s="5"/>
      <c r="TW212" s="5"/>
      <c r="TX212" s="5"/>
      <c r="TY212" s="5"/>
      <c r="TZ212" s="5"/>
      <c r="UA212" s="5"/>
      <c r="UB212" s="5"/>
      <c r="UC212" s="5"/>
      <c r="UD212" s="5"/>
      <c r="UE212" s="5"/>
      <c r="UF212" s="5"/>
      <c r="UG212" s="5"/>
      <c r="UH212" s="5"/>
      <c r="UI212" s="5"/>
      <c r="UJ212" s="5"/>
      <c r="UK212" s="5"/>
      <c r="UL212" s="5"/>
      <c r="UM212" s="5"/>
      <c r="UN212" s="5"/>
      <c r="UO212" s="5"/>
      <c r="UP212" s="5"/>
      <c r="UQ212" s="5"/>
      <c r="UR212" s="5"/>
      <c r="US212" s="5"/>
      <c r="UT212" s="5"/>
      <c r="UU212" s="5"/>
      <c r="UV212" s="5"/>
      <c r="UW212" s="5"/>
      <c r="UX212" s="5"/>
      <c r="UY212" s="5"/>
      <c r="UZ212" s="5"/>
      <c r="VA212" s="5"/>
      <c r="VB212" s="5"/>
      <c r="VC212" s="5"/>
      <c r="VD212" s="5"/>
      <c r="VE212" s="5"/>
      <c r="VF212" s="5"/>
      <c r="VG212" s="5"/>
      <c r="VH212" s="5"/>
      <c r="VI212" s="5"/>
      <c r="VJ212" s="5"/>
      <c r="VK212" s="5"/>
      <c r="VL212" s="5"/>
      <c r="VM212" s="5"/>
      <c r="VN212" s="5"/>
      <c r="VO212" s="5"/>
      <c r="VP212" s="5"/>
      <c r="VQ212" s="5"/>
      <c r="VR212" s="5"/>
      <c r="VS212" s="5"/>
      <c r="VT212" s="5"/>
    </row>
    <row r="213" spans="1:592" s="33" customFormat="1" ht="21" x14ac:dyDescent="0.2">
      <c r="A213" s="10" t="s">
        <v>448</v>
      </c>
      <c r="B213" s="15" t="s">
        <v>449</v>
      </c>
      <c r="C213" s="11" t="s">
        <v>296</v>
      </c>
      <c r="D213" s="11">
        <v>6266118</v>
      </c>
      <c r="E213" s="225" t="s">
        <v>289</v>
      </c>
      <c r="F213" s="192" t="s">
        <v>269</v>
      </c>
      <c r="G213" s="201">
        <f>IFERROR(VLOOKUP(D213,List1!$A$5:$B$227,2,FALSE),"0")</f>
        <v>1569000</v>
      </c>
      <c r="H213" s="41" t="str">
        <f>IFERROR(VLOOKUP(D213,List1!$D$5:$E$41,2,FALSE),"0")</f>
        <v>0</v>
      </c>
      <c r="I213" s="41">
        <f>IFERROR(VLOOKUP(D213,List1!$G$5:$H$227,2,FALSE),"0")</f>
        <v>72000</v>
      </c>
      <c r="J213" s="40">
        <f t="shared" si="26"/>
        <v>1641000</v>
      </c>
      <c r="K213" s="41" t="str">
        <f>IFERROR(VLOOKUP(D213,List1!$J$5:$K$227,2,FALSE),"0")</f>
        <v>0</v>
      </c>
      <c r="L213" s="41" t="str">
        <f>IFERROR(VLOOKUP(D213,List1!$M$5:$N$112,2,FALSE),"0")</f>
        <v>0</v>
      </c>
      <c r="M213" s="43">
        <v>0</v>
      </c>
      <c r="N213" s="80">
        <f>VLOOKUP($D$5:$D$251,List2!$A$2:$B$241,2,FALSE)</f>
        <v>10000</v>
      </c>
      <c r="O213" s="80">
        <f>IFERROR(VLOOKUP($D$5:$D$260,List1!$Y$5:$Z$244,2,FALSE),0)</f>
        <v>692279.77</v>
      </c>
      <c r="P213" s="202">
        <f>IFERROR(VLOOKUP($D$5:$D$260,List1!$AB$5:$AC$244,2,FALSE),0)</f>
        <v>0</v>
      </c>
      <c r="Q213" s="201">
        <f>IFERROR(VLOOKUP($D$5:$D$260,List1!$S$5:$T$231,2,FALSE),0)</f>
        <v>1330148</v>
      </c>
      <c r="R213" s="41">
        <v>0</v>
      </c>
      <c r="S213" s="41">
        <f>IFERROR(VLOOKUP($D$5:$D$260,List1!$AE$5:$AF$231,2,FALSE),0)</f>
        <v>300000</v>
      </c>
      <c r="T213" s="41">
        <f t="shared" si="27"/>
        <v>1630148</v>
      </c>
      <c r="U213" s="41" t="str">
        <f>IFERROR(VLOOKUP(D213,List1!$P$5:$Q$110,2,FALSE),"0")</f>
        <v>0</v>
      </c>
      <c r="V213" s="41">
        <v>0</v>
      </c>
      <c r="W213" s="248">
        <v>0</v>
      </c>
      <c r="X213" s="211">
        <f t="shared" si="28"/>
        <v>1630148</v>
      </c>
      <c r="Y213" s="219"/>
      <c r="Z213" s="80">
        <f>IFERROR(VLOOKUP($D$5:$D$260,#REF!,3,FALSE),0)</f>
        <v>0</v>
      </c>
      <c r="AA213" s="80">
        <f>IFERROR(VLOOKUP($D$5:$D$260,#REF!,3,FALSE),0)</f>
        <v>0</v>
      </c>
      <c r="AB213" s="243">
        <v>0</v>
      </c>
      <c r="AC213" s="202">
        <f t="shared" si="29"/>
        <v>0</v>
      </c>
      <c r="AD213" s="259">
        <f t="shared" si="30"/>
        <v>0</v>
      </c>
      <c r="AE213" s="260">
        <f t="shared" si="31"/>
        <v>0</v>
      </c>
      <c r="AF213" s="260">
        <f t="shared" si="32"/>
        <v>0</v>
      </c>
      <c r="AG213" s="260">
        <f t="shared" si="33"/>
        <v>0</v>
      </c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  <c r="IX213" s="5"/>
      <c r="IY213" s="5"/>
      <c r="IZ213" s="5"/>
      <c r="JA213" s="5"/>
      <c r="JB213" s="5"/>
      <c r="JC213" s="5"/>
      <c r="JD213" s="5"/>
      <c r="JE213" s="5"/>
      <c r="JF213" s="5"/>
      <c r="JG213" s="5"/>
      <c r="JH213" s="5"/>
      <c r="JI213" s="5"/>
      <c r="JJ213" s="5"/>
      <c r="JK213" s="5"/>
      <c r="JL213" s="5"/>
      <c r="JM213" s="5"/>
      <c r="JN213" s="5"/>
      <c r="JO213" s="5"/>
      <c r="JP213" s="5"/>
      <c r="JQ213" s="5"/>
      <c r="JR213" s="5"/>
      <c r="JS213" s="5"/>
      <c r="JT213" s="5"/>
      <c r="JU213" s="5"/>
      <c r="JV213" s="5"/>
      <c r="JW213" s="5"/>
      <c r="JX213" s="5"/>
      <c r="JY213" s="5"/>
      <c r="JZ213" s="5"/>
      <c r="KA213" s="5"/>
      <c r="KB213" s="5"/>
      <c r="KC213" s="5"/>
      <c r="KD213" s="5"/>
      <c r="KE213" s="5"/>
      <c r="KF213" s="5"/>
      <c r="KG213" s="5"/>
      <c r="KH213" s="5"/>
      <c r="KI213" s="5"/>
      <c r="KJ213" s="5"/>
      <c r="KK213" s="5"/>
      <c r="KL213" s="5"/>
      <c r="KM213" s="5"/>
      <c r="KN213" s="5"/>
      <c r="KO213" s="5"/>
      <c r="KP213" s="5"/>
      <c r="KQ213" s="5"/>
      <c r="KR213" s="5"/>
      <c r="KS213" s="5"/>
      <c r="KT213" s="5"/>
      <c r="KU213" s="5"/>
      <c r="KV213" s="5"/>
      <c r="KW213" s="5"/>
      <c r="KX213" s="5"/>
      <c r="KY213" s="5"/>
      <c r="KZ213" s="5"/>
      <c r="LA213" s="5"/>
      <c r="LB213" s="5"/>
      <c r="LC213" s="5"/>
      <c r="LD213" s="5"/>
      <c r="LE213" s="5"/>
      <c r="LF213" s="5"/>
      <c r="LG213" s="5"/>
      <c r="LH213" s="5"/>
      <c r="LI213" s="5"/>
      <c r="LJ213" s="5"/>
      <c r="LK213" s="5"/>
      <c r="LL213" s="5"/>
      <c r="LM213" s="5"/>
      <c r="LN213" s="5"/>
      <c r="LO213" s="5"/>
      <c r="LP213" s="5"/>
      <c r="LQ213" s="5"/>
      <c r="LR213" s="5"/>
      <c r="LS213" s="5"/>
      <c r="LT213" s="5"/>
      <c r="LU213" s="5"/>
      <c r="LV213" s="5"/>
      <c r="LW213" s="5"/>
      <c r="LX213" s="5"/>
      <c r="LY213" s="5"/>
      <c r="LZ213" s="5"/>
      <c r="MA213" s="5"/>
      <c r="MB213" s="5"/>
      <c r="MC213" s="5"/>
      <c r="MD213" s="5"/>
      <c r="ME213" s="5"/>
      <c r="MF213" s="5"/>
      <c r="MG213" s="5"/>
      <c r="MH213" s="5"/>
      <c r="MI213" s="5"/>
      <c r="MJ213" s="5"/>
      <c r="MK213" s="5"/>
      <c r="ML213" s="5"/>
      <c r="MM213" s="5"/>
      <c r="MN213" s="5"/>
      <c r="MO213" s="5"/>
      <c r="MP213" s="5"/>
      <c r="MQ213" s="5"/>
      <c r="MR213" s="5"/>
      <c r="MS213" s="5"/>
      <c r="MT213" s="5"/>
      <c r="MU213" s="5"/>
      <c r="MV213" s="5"/>
      <c r="MW213" s="5"/>
      <c r="MX213" s="5"/>
      <c r="MY213" s="5"/>
      <c r="MZ213" s="5"/>
      <c r="NA213" s="5"/>
      <c r="NB213" s="5"/>
      <c r="NC213" s="5"/>
      <c r="ND213" s="5"/>
      <c r="NE213" s="5"/>
      <c r="NF213" s="5"/>
      <c r="NG213" s="5"/>
      <c r="NH213" s="5"/>
      <c r="NI213" s="5"/>
      <c r="NJ213" s="5"/>
      <c r="NK213" s="5"/>
      <c r="NL213" s="5"/>
      <c r="NM213" s="5"/>
      <c r="NN213" s="5"/>
      <c r="NO213" s="5"/>
      <c r="NP213" s="5"/>
      <c r="NQ213" s="5"/>
      <c r="NR213" s="5"/>
      <c r="NS213" s="5"/>
      <c r="NT213" s="5"/>
      <c r="NU213" s="5"/>
      <c r="NV213" s="5"/>
      <c r="NW213" s="5"/>
      <c r="NX213" s="5"/>
      <c r="NY213" s="5"/>
      <c r="NZ213" s="5"/>
      <c r="OA213" s="5"/>
      <c r="OB213" s="5"/>
      <c r="OC213" s="5"/>
      <c r="OD213" s="5"/>
      <c r="OE213" s="5"/>
      <c r="OF213" s="5"/>
      <c r="OG213" s="5"/>
      <c r="OH213" s="5"/>
      <c r="OI213" s="5"/>
      <c r="OJ213" s="5"/>
      <c r="OK213" s="5"/>
      <c r="OL213" s="5"/>
      <c r="OM213" s="5"/>
      <c r="ON213" s="5"/>
      <c r="OO213" s="5"/>
      <c r="OP213" s="5"/>
      <c r="OQ213" s="5"/>
      <c r="OR213" s="5"/>
      <c r="OS213" s="5"/>
      <c r="OT213" s="5"/>
      <c r="OU213" s="5"/>
      <c r="OV213" s="5"/>
      <c r="OW213" s="5"/>
      <c r="OX213" s="5"/>
      <c r="OY213" s="5"/>
      <c r="OZ213" s="5"/>
      <c r="PA213" s="5"/>
      <c r="PB213" s="5"/>
      <c r="PC213" s="5"/>
      <c r="PD213" s="5"/>
      <c r="PE213" s="5"/>
      <c r="PF213" s="5"/>
      <c r="PG213" s="5"/>
      <c r="PH213" s="5"/>
      <c r="PI213" s="5"/>
      <c r="PJ213" s="5"/>
      <c r="PK213" s="5"/>
      <c r="PL213" s="5"/>
      <c r="PM213" s="5"/>
      <c r="PN213" s="5"/>
      <c r="PO213" s="5"/>
      <c r="PP213" s="5"/>
      <c r="PQ213" s="5"/>
      <c r="PR213" s="5"/>
      <c r="PS213" s="5"/>
      <c r="PT213" s="5"/>
      <c r="PU213" s="5"/>
      <c r="PV213" s="5"/>
      <c r="PW213" s="5"/>
      <c r="PX213" s="5"/>
      <c r="PY213" s="5"/>
      <c r="PZ213" s="5"/>
      <c r="QA213" s="5"/>
      <c r="QB213" s="5"/>
      <c r="QC213" s="5"/>
      <c r="QD213" s="5"/>
      <c r="QE213" s="5"/>
      <c r="QF213" s="5"/>
      <c r="QG213" s="5"/>
      <c r="QH213" s="5"/>
      <c r="QI213" s="5"/>
      <c r="QJ213" s="5"/>
      <c r="QK213" s="5"/>
      <c r="QL213" s="5"/>
      <c r="QM213" s="5"/>
      <c r="QN213" s="5"/>
      <c r="QO213" s="5"/>
      <c r="QP213" s="5"/>
      <c r="QQ213" s="5"/>
      <c r="QR213" s="5"/>
      <c r="QS213" s="5"/>
      <c r="QT213" s="5"/>
      <c r="QU213" s="5"/>
      <c r="QV213" s="5"/>
      <c r="QW213" s="5"/>
      <c r="QX213" s="5"/>
      <c r="QY213" s="5"/>
      <c r="QZ213" s="5"/>
      <c r="RA213" s="5"/>
      <c r="RB213" s="5"/>
      <c r="RC213" s="5"/>
      <c r="RD213" s="5"/>
      <c r="RE213" s="5"/>
      <c r="RF213" s="5"/>
      <c r="RG213" s="5"/>
      <c r="RH213" s="5"/>
      <c r="RI213" s="5"/>
      <c r="RJ213" s="5"/>
      <c r="RK213" s="5"/>
      <c r="RL213" s="5"/>
      <c r="RM213" s="5"/>
      <c r="RN213" s="5"/>
      <c r="RO213" s="5"/>
      <c r="RP213" s="5"/>
      <c r="RQ213" s="5"/>
      <c r="RR213" s="5"/>
      <c r="RS213" s="5"/>
      <c r="RT213" s="5"/>
      <c r="RU213" s="5"/>
      <c r="RV213" s="5"/>
      <c r="RW213" s="5"/>
      <c r="RX213" s="5"/>
      <c r="RY213" s="5"/>
      <c r="RZ213" s="5"/>
      <c r="SA213" s="5"/>
      <c r="SB213" s="5"/>
      <c r="SC213" s="5"/>
      <c r="SD213" s="5"/>
      <c r="SE213" s="5"/>
      <c r="SF213" s="5"/>
      <c r="SG213" s="5"/>
      <c r="SH213" s="5"/>
      <c r="SI213" s="5"/>
      <c r="SJ213" s="5"/>
      <c r="SK213" s="5"/>
      <c r="SL213" s="5"/>
      <c r="SM213" s="5"/>
      <c r="SN213" s="5"/>
      <c r="SO213" s="5"/>
      <c r="SP213" s="5"/>
      <c r="SQ213" s="5"/>
      <c r="SR213" s="5"/>
      <c r="SS213" s="5"/>
      <c r="ST213" s="5"/>
      <c r="SU213" s="5"/>
      <c r="SV213" s="5"/>
      <c r="SW213" s="5"/>
      <c r="SX213" s="5"/>
      <c r="SY213" s="5"/>
      <c r="SZ213" s="5"/>
      <c r="TA213" s="5"/>
      <c r="TB213" s="5"/>
      <c r="TC213" s="5"/>
      <c r="TD213" s="5"/>
      <c r="TE213" s="5"/>
      <c r="TF213" s="5"/>
      <c r="TG213" s="5"/>
      <c r="TH213" s="5"/>
      <c r="TI213" s="5"/>
      <c r="TJ213" s="5"/>
      <c r="TK213" s="5"/>
      <c r="TL213" s="5"/>
      <c r="TM213" s="5"/>
      <c r="TN213" s="5"/>
      <c r="TO213" s="5"/>
      <c r="TP213" s="5"/>
      <c r="TQ213" s="5"/>
      <c r="TR213" s="5"/>
      <c r="TS213" s="5"/>
      <c r="TT213" s="5"/>
      <c r="TU213" s="5"/>
      <c r="TV213" s="5"/>
      <c r="TW213" s="5"/>
      <c r="TX213" s="5"/>
      <c r="TY213" s="5"/>
      <c r="TZ213" s="5"/>
      <c r="UA213" s="5"/>
      <c r="UB213" s="5"/>
      <c r="UC213" s="5"/>
      <c r="UD213" s="5"/>
      <c r="UE213" s="5"/>
      <c r="UF213" s="5"/>
      <c r="UG213" s="5"/>
      <c r="UH213" s="5"/>
      <c r="UI213" s="5"/>
      <c r="UJ213" s="5"/>
      <c r="UK213" s="5"/>
      <c r="UL213" s="5"/>
      <c r="UM213" s="5"/>
      <c r="UN213" s="5"/>
      <c r="UO213" s="5"/>
      <c r="UP213" s="5"/>
      <c r="UQ213" s="5"/>
      <c r="UR213" s="5"/>
      <c r="US213" s="5"/>
      <c r="UT213" s="5"/>
      <c r="UU213" s="5"/>
      <c r="UV213" s="5"/>
      <c r="UW213" s="5"/>
      <c r="UX213" s="5"/>
      <c r="UY213" s="5"/>
      <c r="UZ213" s="5"/>
      <c r="VA213" s="5"/>
      <c r="VB213" s="5"/>
      <c r="VC213" s="5"/>
      <c r="VD213" s="5"/>
      <c r="VE213" s="5"/>
      <c r="VF213" s="5"/>
      <c r="VG213" s="5"/>
      <c r="VH213" s="5"/>
      <c r="VI213" s="5"/>
      <c r="VJ213" s="5"/>
      <c r="VK213" s="5"/>
      <c r="VL213" s="5"/>
      <c r="VM213" s="5"/>
      <c r="VN213" s="5"/>
      <c r="VO213" s="5"/>
      <c r="VP213" s="5"/>
      <c r="VQ213" s="5"/>
      <c r="VR213" s="5"/>
      <c r="VS213" s="5"/>
      <c r="VT213" s="5"/>
    </row>
    <row r="214" spans="1:592" s="34" customFormat="1" ht="21" x14ac:dyDescent="0.2">
      <c r="A214" s="10" t="s">
        <v>448</v>
      </c>
      <c r="B214" s="15" t="s">
        <v>449</v>
      </c>
      <c r="C214" s="11" t="s">
        <v>296</v>
      </c>
      <c r="D214" s="11">
        <v>7007714</v>
      </c>
      <c r="E214" s="225" t="s">
        <v>334</v>
      </c>
      <c r="F214" s="192" t="s">
        <v>278</v>
      </c>
      <c r="G214" s="201">
        <f>IFERROR(VLOOKUP(D214,List1!$A$5:$B$227,2,FALSE),"0")</f>
        <v>9290000</v>
      </c>
      <c r="H214" s="41">
        <f>IFERROR(VLOOKUP(D214,List1!$D$5:$E$41,2,FALSE),"0")</f>
        <v>817171</v>
      </c>
      <c r="I214" s="41">
        <f>IFERROR(VLOOKUP(D214,List1!$G$5:$H$227,2,FALSE),"0")</f>
        <v>474000</v>
      </c>
      <c r="J214" s="40">
        <f t="shared" si="26"/>
        <v>10581171</v>
      </c>
      <c r="K214" s="41" t="str">
        <f>IFERROR(VLOOKUP(D214,List1!$J$5:$K$227,2,FALSE),"0")</f>
        <v>0</v>
      </c>
      <c r="L214" s="41" t="str">
        <f>IFERROR(VLOOKUP(D214,List1!$M$5:$N$112,2,FALSE),"0")</f>
        <v>0</v>
      </c>
      <c r="M214" s="43">
        <v>0</v>
      </c>
      <c r="N214" s="80">
        <f>VLOOKUP($D$5:$D$251,List2!$A$2:$B$241,2,FALSE)</f>
        <v>22000</v>
      </c>
      <c r="O214" s="80">
        <f>IFERROR(VLOOKUP($D$5:$D$260,List1!$Y$5:$Z$244,2,FALSE),0)</f>
        <v>1703761.09</v>
      </c>
      <c r="P214" s="202">
        <f>IFERROR(VLOOKUP($D$5:$D$260,List1!$AB$5:$AC$244,2,FALSE),0)</f>
        <v>0</v>
      </c>
      <c r="Q214" s="201">
        <f>IFERROR(VLOOKUP($D$5:$D$260,List1!$S$5:$T$231,2,FALSE),0)</f>
        <v>8934641</v>
      </c>
      <c r="R214" s="41">
        <v>0</v>
      </c>
      <c r="S214" s="41">
        <f>IFERROR(VLOOKUP($D$5:$D$260,List1!$AE$5:$AF$231,2,FALSE),0)</f>
        <v>775377</v>
      </c>
      <c r="T214" s="41">
        <f t="shared" si="27"/>
        <v>9710018</v>
      </c>
      <c r="U214" s="41" t="str">
        <f>IFERROR(VLOOKUP(D214,List1!$P$5:$Q$110,2,FALSE),"0")</f>
        <v>0</v>
      </c>
      <c r="V214" s="41">
        <v>0</v>
      </c>
      <c r="W214" s="248">
        <v>0</v>
      </c>
      <c r="X214" s="211">
        <f t="shared" si="28"/>
        <v>9710018</v>
      </c>
      <c r="Y214" s="219"/>
      <c r="Z214" s="80">
        <f>IFERROR(VLOOKUP($D$5:$D$260,#REF!,3,FALSE),0)</f>
        <v>0</v>
      </c>
      <c r="AA214" s="80">
        <f>IFERROR(VLOOKUP($D$5:$D$260,#REF!,3,FALSE),0)</f>
        <v>0</v>
      </c>
      <c r="AB214" s="243">
        <v>0</v>
      </c>
      <c r="AC214" s="202">
        <f t="shared" si="29"/>
        <v>0</v>
      </c>
      <c r="AD214" s="259">
        <f t="shared" si="30"/>
        <v>0</v>
      </c>
      <c r="AE214" s="260">
        <f t="shared" si="31"/>
        <v>0</v>
      </c>
      <c r="AF214" s="260">
        <f t="shared" si="32"/>
        <v>0</v>
      </c>
      <c r="AG214" s="260">
        <f t="shared" si="33"/>
        <v>0</v>
      </c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  <c r="IX214" s="5"/>
      <c r="IY214" s="5"/>
      <c r="IZ214" s="5"/>
      <c r="JA214" s="5"/>
      <c r="JB214" s="5"/>
      <c r="JC214" s="5"/>
      <c r="JD214" s="5"/>
      <c r="JE214" s="5"/>
      <c r="JF214" s="5"/>
      <c r="JG214" s="5"/>
      <c r="JH214" s="5"/>
      <c r="JI214" s="5"/>
      <c r="JJ214" s="5"/>
      <c r="JK214" s="5"/>
      <c r="JL214" s="5"/>
      <c r="JM214" s="5"/>
      <c r="JN214" s="5"/>
      <c r="JO214" s="5"/>
      <c r="JP214" s="5"/>
      <c r="JQ214" s="5"/>
      <c r="JR214" s="5"/>
      <c r="JS214" s="5"/>
      <c r="JT214" s="5"/>
      <c r="JU214" s="5"/>
      <c r="JV214" s="5"/>
      <c r="JW214" s="5"/>
      <c r="JX214" s="5"/>
      <c r="JY214" s="5"/>
      <c r="JZ214" s="5"/>
      <c r="KA214" s="5"/>
      <c r="KB214" s="5"/>
      <c r="KC214" s="5"/>
      <c r="KD214" s="5"/>
      <c r="KE214" s="5"/>
      <c r="KF214" s="5"/>
      <c r="KG214" s="5"/>
      <c r="KH214" s="5"/>
      <c r="KI214" s="5"/>
      <c r="KJ214" s="5"/>
      <c r="KK214" s="5"/>
      <c r="KL214" s="5"/>
      <c r="KM214" s="5"/>
      <c r="KN214" s="5"/>
      <c r="KO214" s="5"/>
      <c r="KP214" s="5"/>
      <c r="KQ214" s="5"/>
      <c r="KR214" s="5"/>
      <c r="KS214" s="5"/>
      <c r="KT214" s="5"/>
      <c r="KU214" s="5"/>
      <c r="KV214" s="5"/>
      <c r="KW214" s="5"/>
      <c r="KX214" s="5"/>
      <c r="KY214" s="5"/>
      <c r="KZ214" s="5"/>
      <c r="LA214" s="5"/>
      <c r="LB214" s="5"/>
      <c r="LC214" s="5"/>
      <c r="LD214" s="5"/>
      <c r="LE214" s="5"/>
      <c r="LF214" s="5"/>
      <c r="LG214" s="5"/>
      <c r="LH214" s="5"/>
      <c r="LI214" s="5"/>
      <c r="LJ214" s="5"/>
      <c r="LK214" s="5"/>
      <c r="LL214" s="5"/>
      <c r="LM214" s="5"/>
      <c r="LN214" s="5"/>
      <c r="LO214" s="5"/>
      <c r="LP214" s="5"/>
      <c r="LQ214" s="5"/>
      <c r="LR214" s="5"/>
      <c r="LS214" s="5"/>
      <c r="LT214" s="5"/>
      <c r="LU214" s="5"/>
      <c r="LV214" s="5"/>
      <c r="LW214" s="5"/>
      <c r="LX214" s="5"/>
      <c r="LY214" s="5"/>
      <c r="LZ214" s="5"/>
      <c r="MA214" s="5"/>
      <c r="MB214" s="5"/>
      <c r="MC214" s="5"/>
      <c r="MD214" s="5"/>
      <c r="ME214" s="5"/>
      <c r="MF214" s="5"/>
      <c r="MG214" s="5"/>
      <c r="MH214" s="5"/>
      <c r="MI214" s="5"/>
      <c r="MJ214" s="5"/>
      <c r="MK214" s="5"/>
      <c r="ML214" s="5"/>
      <c r="MM214" s="5"/>
      <c r="MN214" s="5"/>
      <c r="MO214" s="5"/>
      <c r="MP214" s="5"/>
      <c r="MQ214" s="5"/>
      <c r="MR214" s="5"/>
      <c r="MS214" s="5"/>
      <c r="MT214" s="5"/>
      <c r="MU214" s="5"/>
      <c r="MV214" s="5"/>
      <c r="MW214" s="5"/>
      <c r="MX214" s="5"/>
      <c r="MY214" s="5"/>
      <c r="MZ214" s="5"/>
      <c r="NA214" s="5"/>
      <c r="NB214" s="5"/>
      <c r="NC214" s="5"/>
      <c r="ND214" s="5"/>
      <c r="NE214" s="5"/>
      <c r="NF214" s="5"/>
      <c r="NG214" s="5"/>
      <c r="NH214" s="5"/>
      <c r="NI214" s="5"/>
      <c r="NJ214" s="5"/>
      <c r="NK214" s="5"/>
      <c r="NL214" s="5"/>
      <c r="NM214" s="5"/>
      <c r="NN214" s="5"/>
      <c r="NO214" s="5"/>
      <c r="NP214" s="5"/>
      <c r="NQ214" s="5"/>
      <c r="NR214" s="5"/>
      <c r="NS214" s="5"/>
      <c r="NT214" s="5"/>
      <c r="NU214" s="5"/>
      <c r="NV214" s="5"/>
      <c r="NW214" s="5"/>
      <c r="NX214" s="5"/>
      <c r="NY214" s="5"/>
      <c r="NZ214" s="5"/>
      <c r="OA214" s="5"/>
      <c r="OB214" s="5"/>
      <c r="OC214" s="5"/>
      <c r="OD214" s="5"/>
      <c r="OE214" s="5"/>
      <c r="OF214" s="5"/>
      <c r="OG214" s="5"/>
      <c r="OH214" s="5"/>
      <c r="OI214" s="5"/>
      <c r="OJ214" s="5"/>
      <c r="OK214" s="5"/>
      <c r="OL214" s="5"/>
      <c r="OM214" s="5"/>
      <c r="ON214" s="5"/>
      <c r="OO214" s="5"/>
      <c r="OP214" s="5"/>
      <c r="OQ214" s="5"/>
      <c r="OR214" s="5"/>
      <c r="OS214" s="5"/>
      <c r="OT214" s="5"/>
      <c r="OU214" s="5"/>
      <c r="OV214" s="5"/>
      <c r="OW214" s="5"/>
      <c r="OX214" s="5"/>
      <c r="OY214" s="5"/>
      <c r="OZ214" s="5"/>
      <c r="PA214" s="5"/>
      <c r="PB214" s="5"/>
      <c r="PC214" s="5"/>
      <c r="PD214" s="5"/>
      <c r="PE214" s="5"/>
      <c r="PF214" s="5"/>
      <c r="PG214" s="5"/>
      <c r="PH214" s="5"/>
      <c r="PI214" s="5"/>
      <c r="PJ214" s="5"/>
      <c r="PK214" s="5"/>
      <c r="PL214" s="5"/>
      <c r="PM214" s="5"/>
      <c r="PN214" s="5"/>
      <c r="PO214" s="5"/>
      <c r="PP214" s="5"/>
      <c r="PQ214" s="5"/>
      <c r="PR214" s="5"/>
      <c r="PS214" s="5"/>
      <c r="PT214" s="5"/>
      <c r="PU214" s="5"/>
      <c r="PV214" s="5"/>
      <c r="PW214" s="5"/>
      <c r="PX214" s="5"/>
      <c r="PY214" s="5"/>
      <c r="PZ214" s="5"/>
      <c r="QA214" s="5"/>
      <c r="QB214" s="5"/>
      <c r="QC214" s="5"/>
      <c r="QD214" s="5"/>
      <c r="QE214" s="5"/>
      <c r="QF214" s="5"/>
      <c r="QG214" s="5"/>
      <c r="QH214" s="5"/>
      <c r="QI214" s="5"/>
      <c r="QJ214" s="5"/>
      <c r="QK214" s="5"/>
      <c r="QL214" s="5"/>
      <c r="QM214" s="5"/>
      <c r="QN214" s="5"/>
      <c r="QO214" s="5"/>
      <c r="QP214" s="5"/>
      <c r="QQ214" s="5"/>
      <c r="QR214" s="5"/>
      <c r="QS214" s="5"/>
      <c r="QT214" s="5"/>
      <c r="QU214" s="5"/>
      <c r="QV214" s="5"/>
      <c r="QW214" s="5"/>
      <c r="QX214" s="5"/>
      <c r="QY214" s="5"/>
      <c r="QZ214" s="5"/>
      <c r="RA214" s="5"/>
      <c r="RB214" s="5"/>
      <c r="RC214" s="5"/>
      <c r="RD214" s="5"/>
      <c r="RE214" s="5"/>
      <c r="RF214" s="5"/>
      <c r="RG214" s="5"/>
      <c r="RH214" s="5"/>
      <c r="RI214" s="5"/>
      <c r="RJ214" s="5"/>
      <c r="RK214" s="5"/>
      <c r="RL214" s="5"/>
      <c r="RM214" s="5"/>
      <c r="RN214" s="5"/>
      <c r="RO214" s="5"/>
      <c r="RP214" s="5"/>
      <c r="RQ214" s="5"/>
      <c r="RR214" s="5"/>
      <c r="RS214" s="5"/>
      <c r="RT214" s="5"/>
      <c r="RU214" s="5"/>
      <c r="RV214" s="5"/>
      <c r="RW214" s="5"/>
      <c r="RX214" s="5"/>
      <c r="RY214" s="5"/>
      <c r="RZ214" s="5"/>
      <c r="SA214" s="5"/>
      <c r="SB214" s="5"/>
      <c r="SC214" s="5"/>
      <c r="SD214" s="5"/>
      <c r="SE214" s="5"/>
      <c r="SF214" s="5"/>
      <c r="SG214" s="5"/>
      <c r="SH214" s="5"/>
      <c r="SI214" s="5"/>
      <c r="SJ214" s="5"/>
      <c r="SK214" s="5"/>
      <c r="SL214" s="5"/>
      <c r="SM214" s="5"/>
      <c r="SN214" s="5"/>
      <c r="SO214" s="5"/>
      <c r="SP214" s="5"/>
      <c r="SQ214" s="5"/>
      <c r="SR214" s="5"/>
      <c r="SS214" s="5"/>
      <c r="ST214" s="5"/>
      <c r="SU214" s="5"/>
      <c r="SV214" s="5"/>
      <c r="SW214" s="5"/>
      <c r="SX214" s="5"/>
      <c r="SY214" s="5"/>
      <c r="SZ214" s="5"/>
      <c r="TA214" s="5"/>
      <c r="TB214" s="5"/>
      <c r="TC214" s="5"/>
      <c r="TD214" s="5"/>
      <c r="TE214" s="5"/>
      <c r="TF214" s="5"/>
      <c r="TG214" s="5"/>
      <c r="TH214" s="5"/>
      <c r="TI214" s="5"/>
      <c r="TJ214" s="5"/>
      <c r="TK214" s="5"/>
      <c r="TL214" s="5"/>
      <c r="TM214" s="5"/>
      <c r="TN214" s="5"/>
      <c r="TO214" s="5"/>
      <c r="TP214" s="5"/>
      <c r="TQ214" s="5"/>
      <c r="TR214" s="5"/>
      <c r="TS214" s="5"/>
      <c r="TT214" s="5"/>
      <c r="TU214" s="5"/>
      <c r="TV214" s="5"/>
      <c r="TW214" s="5"/>
      <c r="TX214" s="5"/>
      <c r="TY214" s="5"/>
      <c r="TZ214" s="5"/>
      <c r="UA214" s="5"/>
      <c r="UB214" s="5"/>
      <c r="UC214" s="5"/>
      <c r="UD214" s="5"/>
      <c r="UE214" s="5"/>
      <c r="UF214" s="5"/>
      <c r="UG214" s="5"/>
      <c r="UH214" s="5"/>
      <c r="UI214" s="5"/>
      <c r="UJ214" s="5"/>
      <c r="UK214" s="5"/>
      <c r="UL214" s="5"/>
      <c r="UM214" s="5"/>
      <c r="UN214" s="5"/>
      <c r="UO214" s="5"/>
      <c r="UP214" s="5"/>
      <c r="UQ214" s="5"/>
      <c r="UR214" s="5"/>
      <c r="US214" s="5"/>
      <c r="UT214" s="5"/>
      <c r="UU214" s="5"/>
      <c r="UV214" s="5"/>
      <c r="UW214" s="5"/>
      <c r="UX214" s="5"/>
      <c r="UY214" s="5"/>
      <c r="UZ214" s="5"/>
      <c r="VA214" s="5"/>
      <c r="VB214" s="5"/>
      <c r="VC214" s="5"/>
      <c r="VD214" s="5"/>
      <c r="VE214" s="5"/>
      <c r="VF214" s="5"/>
      <c r="VG214" s="5"/>
      <c r="VH214" s="5"/>
      <c r="VI214" s="5"/>
      <c r="VJ214" s="5"/>
      <c r="VK214" s="5"/>
      <c r="VL214" s="5"/>
      <c r="VM214" s="5"/>
      <c r="VN214" s="5"/>
      <c r="VO214" s="5"/>
      <c r="VP214" s="5"/>
      <c r="VQ214" s="5"/>
      <c r="VR214" s="5"/>
      <c r="VS214" s="5"/>
      <c r="VT214" s="5"/>
    </row>
    <row r="215" spans="1:592" s="35" customFormat="1" ht="31.5" x14ac:dyDescent="0.2">
      <c r="A215" s="10" t="s">
        <v>450</v>
      </c>
      <c r="B215" s="11">
        <v>26640007</v>
      </c>
      <c r="C215" s="11" t="s">
        <v>318</v>
      </c>
      <c r="D215" s="11">
        <v>3802797</v>
      </c>
      <c r="E215" s="228" t="s">
        <v>406</v>
      </c>
      <c r="F215" s="192" t="s">
        <v>278</v>
      </c>
      <c r="G215" s="201">
        <f>IFERROR(VLOOKUP(D215,List1!$A$5:$B$227,2,FALSE),"0")</f>
        <v>893000</v>
      </c>
      <c r="H215" s="41" t="str">
        <f>IFERROR(VLOOKUP(D215,List1!$D$5:$E$41,2,FALSE),"0")</f>
        <v>0</v>
      </c>
      <c r="I215" s="41" t="str">
        <f>IFERROR(VLOOKUP(D215,List1!$G$5:$H$227,2,FALSE),"0")</f>
        <v>0</v>
      </c>
      <c r="J215" s="40">
        <f t="shared" si="26"/>
        <v>893000</v>
      </c>
      <c r="K215" s="41" t="str">
        <f>IFERROR(VLOOKUP(D215,List1!$J$5:$K$227,2,FALSE),"0")</f>
        <v>0</v>
      </c>
      <c r="L215" s="41" t="str">
        <f>IFERROR(VLOOKUP(D215,List1!$M$5:$N$112,2,FALSE),"0")</f>
        <v>0</v>
      </c>
      <c r="M215" s="43">
        <v>0</v>
      </c>
      <c r="N215" s="80">
        <f>VLOOKUP($D$5:$D$251,List2!$A$2:$B$241,2,FALSE)</f>
        <v>0</v>
      </c>
      <c r="O215" s="80">
        <f>IFERROR(VLOOKUP($D$5:$D$260,List1!$Y$5:$Z$244,2,FALSE),0)</f>
        <v>0</v>
      </c>
      <c r="P215" s="202">
        <f>IFERROR(VLOOKUP($D$5:$D$260,List1!$AB$5:$AC$244,2,FALSE),0)</f>
        <v>0</v>
      </c>
      <c r="Q215" s="203">
        <f>IFERROR(VLOOKUP($D$5:$D$260,List1!$S$5:$T$231,2,FALSE),0)-292272</f>
        <v>471964</v>
      </c>
      <c r="R215" s="41">
        <v>0</v>
      </c>
      <c r="S215" s="41">
        <f>IFERROR(VLOOKUP($D$5:$D$260,List1!$AE$5:$AF$231,2,FALSE),0)</f>
        <v>0</v>
      </c>
      <c r="T215" s="41">
        <f t="shared" si="27"/>
        <v>471964</v>
      </c>
      <c r="U215" s="41" t="str">
        <f>IFERROR(VLOOKUP(D215,List1!$P$5:$Q$110,2,FALSE),"0")</f>
        <v>0</v>
      </c>
      <c r="V215" s="41">
        <v>0</v>
      </c>
      <c r="W215" s="248">
        <v>0</v>
      </c>
      <c r="X215" s="211">
        <f t="shared" si="28"/>
        <v>471964</v>
      </c>
      <c r="Y215" s="219"/>
      <c r="Z215" s="80">
        <f>IFERROR(VLOOKUP($D$5:$D$260,#REF!,3,FALSE),0)</f>
        <v>0</v>
      </c>
      <c r="AA215" s="80">
        <f>IFERROR(VLOOKUP($D$5:$D$260,#REF!,3,FALSE),0)</f>
        <v>0</v>
      </c>
      <c r="AB215" s="243">
        <v>0</v>
      </c>
      <c r="AC215" s="202">
        <f t="shared" si="29"/>
        <v>0</v>
      </c>
      <c r="AD215" s="259">
        <f t="shared" si="30"/>
        <v>0</v>
      </c>
      <c r="AE215" s="260">
        <f t="shared" si="31"/>
        <v>0</v>
      </c>
      <c r="AF215" s="260">
        <f t="shared" si="32"/>
        <v>0</v>
      </c>
      <c r="AG215" s="260">
        <f t="shared" si="33"/>
        <v>0</v>
      </c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  <c r="IX215" s="5"/>
      <c r="IY215" s="5"/>
      <c r="IZ215" s="5"/>
      <c r="JA215" s="5"/>
      <c r="JB215" s="5"/>
      <c r="JC215" s="5"/>
      <c r="JD215" s="5"/>
      <c r="JE215" s="5"/>
      <c r="JF215" s="5"/>
      <c r="JG215" s="5"/>
      <c r="JH215" s="5"/>
      <c r="JI215" s="5"/>
      <c r="JJ215" s="5"/>
      <c r="JK215" s="5"/>
      <c r="JL215" s="5"/>
      <c r="JM215" s="5"/>
      <c r="JN215" s="5"/>
      <c r="JO215" s="5"/>
      <c r="JP215" s="5"/>
      <c r="JQ215" s="5"/>
      <c r="JR215" s="5"/>
      <c r="JS215" s="5"/>
      <c r="JT215" s="5"/>
      <c r="JU215" s="5"/>
      <c r="JV215" s="5"/>
      <c r="JW215" s="5"/>
      <c r="JX215" s="5"/>
      <c r="JY215" s="5"/>
      <c r="JZ215" s="5"/>
      <c r="KA215" s="5"/>
      <c r="KB215" s="5"/>
      <c r="KC215" s="5"/>
      <c r="KD215" s="5"/>
      <c r="KE215" s="5"/>
      <c r="KF215" s="5"/>
      <c r="KG215" s="5"/>
      <c r="KH215" s="5"/>
      <c r="KI215" s="5"/>
      <c r="KJ215" s="5"/>
      <c r="KK215" s="5"/>
      <c r="KL215" s="5"/>
      <c r="KM215" s="5"/>
      <c r="KN215" s="5"/>
      <c r="KO215" s="5"/>
      <c r="KP215" s="5"/>
      <c r="KQ215" s="5"/>
      <c r="KR215" s="5"/>
      <c r="KS215" s="5"/>
      <c r="KT215" s="5"/>
      <c r="KU215" s="5"/>
      <c r="KV215" s="5"/>
      <c r="KW215" s="5"/>
      <c r="KX215" s="5"/>
      <c r="KY215" s="5"/>
      <c r="KZ215" s="5"/>
      <c r="LA215" s="5"/>
      <c r="LB215" s="5"/>
      <c r="LC215" s="5"/>
      <c r="LD215" s="5"/>
      <c r="LE215" s="5"/>
      <c r="LF215" s="5"/>
      <c r="LG215" s="5"/>
      <c r="LH215" s="5"/>
      <c r="LI215" s="5"/>
      <c r="LJ215" s="5"/>
      <c r="LK215" s="5"/>
      <c r="LL215" s="5"/>
      <c r="LM215" s="5"/>
      <c r="LN215" s="5"/>
      <c r="LO215" s="5"/>
      <c r="LP215" s="5"/>
      <c r="LQ215" s="5"/>
      <c r="LR215" s="5"/>
      <c r="LS215" s="5"/>
      <c r="LT215" s="5"/>
      <c r="LU215" s="5"/>
      <c r="LV215" s="5"/>
      <c r="LW215" s="5"/>
      <c r="LX215" s="5"/>
      <c r="LY215" s="5"/>
      <c r="LZ215" s="5"/>
      <c r="MA215" s="5"/>
      <c r="MB215" s="5"/>
      <c r="MC215" s="5"/>
      <c r="MD215" s="5"/>
      <c r="ME215" s="5"/>
      <c r="MF215" s="5"/>
      <c r="MG215" s="5"/>
      <c r="MH215" s="5"/>
      <c r="MI215" s="5"/>
      <c r="MJ215" s="5"/>
      <c r="MK215" s="5"/>
      <c r="ML215" s="5"/>
      <c r="MM215" s="5"/>
      <c r="MN215" s="5"/>
      <c r="MO215" s="5"/>
      <c r="MP215" s="5"/>
      <c r="MQ215" s="5"/>
      <c r="MR215" s="5"/>
      <c r="MS215" s="5"/>
      <c r="MT215" s="5"/>
      <c r="MU215" s="5"/>
      <c r="MV215" s="5"/>
      <c r="MW215" s="5"/>
      <c r="MX215" s="5"/>
      <c r="MY215" s="5"/>
      <c r="MZ215" s="5"/>
      <c r="NA215" s="5"/>
      <c r="NB215" s="5"/>
      <c r="NC215" s="5"/>
      <c r="ND215" s="5"/>
      <c r="NE215" s="5"/>
      <c r="NF215" s="5"/>
      <c r="NG215" s="5"/>
      <c r="NH215" s="5"/>
      <c r="NI215" s="5"/>
      <c r="NJ215" s="5"/>
      <c r="NK215" s="5"/>
      <c r="NL215" s="5"/>
      <c r="NM215" s="5"/>
      <c r="NN215" s="5"/>
      <c r="NO215" s="5"/>
      <c r="NP215" s="5"/>
      <c r="NQ215" s="5"/>
      <c r="NR215" s="5"/>
      <c r="NS215" s="5"/>
      <c r="NT215" s="5"/>
      <c r="NU215" s="5"/>
      <c r="NV215" s="5"/>
      <c r="NW215" s="5"/>
      <c r="NX215" s="5"/>
      <c r="NY215" s="5"/>
      <c r="NZ215" s="5"/>
      <c r="OA215" s="5"/>
      <c r="OB215" s="5"/>
      <c r="OC215" s="5"/>
      <c r="OD215" s="5"/>
      <c r="OE215" s="5"/>
      <c r="OF215" s="5"/>
      <c r="OG215" s="5"/>
      <c r="OH215" s="5"/>
      <c r="OI215" s="5"/>
      <c r="OJ215" s="5"/>
      <c r="OK215" s="5"/>
      <c r="OL215" s="5"/>
      <c r="OM215" s="5"/>
      <c r="ON215" s="5"/>
      <c r="OO215" s="5"/>
      <c r="OP215" s="5"/>
      <c r="OQ215" s="5"/>
      <c r="OR215" s="5"/>
      <c r="OS215" s="5"/>
      <c r="OT215" s="5"/>
      <c r="OU215" s="5"/>
      <c r="OV215" s="5"/>
      <c r="OW215" s="5"/>
      <c r="OX215" s="5"/>
      <c r="OY215" s="5"/>
      <c r="OZ215" s="5"/>
      <c r="PA215" s="5"/>
      <c r="PB215" s="5"/>
      <c r="PC215" s="5"/>
      <c r="PD215" s="5"/>
      <c r="PE215" s="5"/>
      <c r="PF215" s="5"/>
      <c r="PG215" s="5"/>
      <c r="PH215" s="5"/>
      <c r="PI215" s="5"/>
      <c r="PJ215" s="5"/>
      <c r="PK215" s="5"/>
      <c r="PL215" s="5"/>
      <c r="PM215" s="5"/>
      <c r="PN215" s="5"/>
      <c r="PO215" s="5"/>
      <c r="PP215" s="5"/>
      <c r="PQ215" s="5"/>
      <c r="PR215" s="5"/>
      <c r="PS215" s="5"/>
      <c r="PT215" s="5"/>
      <c r="PU215" s="5"/>
      <c r="PV215" s="5"/>
      <c r="PW215" s="5"/>
      <c r="PX215" s="5"/>
      <c r="PY215" s="5"/>
      <c r="PZ215" s="5"/>
      <c r="QA215" s="5"/>
      <c r="QB215" s="5"/>
      <c r="QC215" s="5"/>
      <c r="QD215" s="5"/>
      <c r="QE215" s="5"/>
      <c r="QF215" s="5"/>
      <c r="QG215" s="5"/>
      <c r="QH215" s="5"/>
      <c r="QI215" s="5"/>
      <c r="QJ215" s="5"/>
      <c r="QK215" s="5"/>
      <c r="QL215" s="5"/>
      <c r="QM215" s="5"/>
      <c r="QN215" s="5"/>
      <c r="QO215" s="5"/>
      <c r="QP215" s="5"/>
      <c r="QQ215" s="5"/>
      <c r="QR215" s="5"/>
      <c r="QS215" s="5"/>
      <c r="QT215" s="5"/>
      <c r="QU215" s="5"/>
      <c r="QV215" s="5"/>
      <c r="QW215" s="5"/>
      <c r="QX215" s="5"/>
      <c r="QY215" s="5"/>
      <c r="QZ215" s="5"/>
      <c r="RA215" s="5"/>
      <c r="RB215" s="5"/>
      <c r="RC215" s="5"/>
      <c r="RD215" s="5"/>
      <c r="RE215" s="5"/>
      <c r="RF215" s="5"/>
      <c r="RG215" s="5"/>
      <c r="RH215" s="5"/>
      <c r="RI215" s="5"/>
      <c r="RJ215" s="5"/>
      <c r="RK215" s="5"/>
      <c r="RL215" s="5"/>
      <c r="RM215" s="5"/>
      <c r="RN215" s="5"/>
      <c r="RO215" s="5"/>
      <c r="RP215" s="5"/>
      <c r="RQ215" s="5"/>
      <c r="RR215" s="5"/>
      <c r="RS215" s="5"/>
      <c r="RT215" s="5"/>
      <c r="RU215" s="5"/>
      <c r="RV215" s="5"/>
      <c r="RW215" s="5"/>
      <c r="RX215" s="5"/>
      <c r="RY215" s="5"/>
      <c r="RZ215" s="5"/>
      <c r="SA215" s="5"/>
      <c r="SB215" s="5"/>
      <c r="SC215" s="5"/>
      <c r="SD215" s="5"/>
      <c r="SE215" s="5"/>
      <c r="SF215" s="5"/>
      <c r="SG215" s="5"/>
      <c r="SH215" s="5"/>
      <c r="SI215" s="5"/>
      <c r="SJ215" s="5"/>
      <c r="SK215" s="5"/>
      <c r="SL215" s="5"/>
      <c r="SM215" s="5"/>
      <c r="SN215" s="5"/>
      <c r="SO215" s="5"/>
      <c r="SP215" s="5"/>
      <c r="SQ215" s="5"/>
      <c r="SR215" s="5"/>
      <c r="SS215" s="5"/>
      <c r="ST215" s="5"/>
      <c r="SU215" s="5"/>
      <c r="SV215" s="5"/>
      <c r="SW215" s="5"/>
      <c r="SX215" s="5"/>
      <c r="SY215" s="5"/>
      <c r="SZ215" s="5"/>
      <c r="TA215" s="5"/>
      <c r="TB215" s="5"/>
      <c r="TC215" s="5"/>
      <c r="TD215" s="5"/>
      <c r="TE215" s="5"/>
      <c r="TF215" s="5"/>
      <c r="TG215" s="5"/>
      <c r="TH215" s="5"/>
      <c r="TI215" s="5"/>
      <c r="TJ215" s="5"/>
      <c r="TK215" s="5"/>
      <c r="TL215" s="5"/>
      <c r="TM215" s="5"/>
      <c r="TN215" s="5"/>
      <c r="TO215" s="5"/>
      <c r="TP215" s="5"/>
      <c r="TQ215" s="5"/>
      <c r="TR215" s="5"/>
      <c r="TS215" s="5"/>
      <c r="TT215" s="5"/>
      <c r="TU215" s="5"/>
      <c r="TV215" s="5"/>
      <c r="TW215" s="5"/>
      <c r="TX215" s="5"/>
      <c r="TY215" s="5"/>
      <c r="TZ215" s="5"/>
      <c r="UA215" s="5"/>
      <c r="UB215" s="5"/>
      <c r="UC215" s="5"/>
      <c r="UD215" s="5"/>
      <c r="UE215" s="5"/>
      <c r="UF215" s="5"/>
      <c r="UG215" s="5"/>
      <c r="UH215" s="5"/>
      <c r="UI215" s="5"/>
      <c r="UJ215" s="5"/>
      <c r="UK215" s="5"/>
      <c r="UL215" s="5"/>
      <c r="UM215" s="5"/>
      <c r="UN215" s="5"/>
      <c r="UO215" s="5"/>
      <c r="UP215" s="5"/>
      <c r="UQ215" s="5"/>
      <c r="UR215" s="5"/>
      <c r="US215" s="5"/>
      <c r="UT215" s="5"/>
      <c r="UU215" s="5"/>
      <c r="UV215" s="5"/>
      <c r="UW215" s="5"/>
      <c r="UX215" s="5"/>
      <c r="UY215" s="5"/>
      <c r="UZ215" s="5"/>
      <c r="VA215" s="5"/>
      <c r="VB215" s="5"/>
      <c r="VC215" s="5"/>
      <c r="VD215" s="5"/>
      <c r="VE215" s="5"/>
      <c r="VF215" s="5"/>
      <c r="VG215" s="5"/>
      <c r="VH215" s="5"/>
      <c r="VI215" s="5"/>
      <c r="VJ215" s="5"/>
      <c r="VK215" s="5"/>
      <c r="VL215" s="5"/>
      <c r="VM215" s="5"/>
      <c r="VN215" s="5"/>
      <c r="VO215" s="5"/>
      <c r="VP215" s="5"/>
      <c r="VQ215" s="5"/>
      <c r="VR215" s="5"/>
      <c r="VS215" s="5"/>
      <c r="VT215" s="5"/>
    </row>
    <row r="216" spans="1:592" s="34" customFormat="1" ht="63" x14ac:dyDescent="0.2">
      <c r="A216" s="10" t="s">
        <v>451</v>
      </c>
      <c r="B216" s="11">
        <v>72745339</v>
      </c>
      <c r="C216" s="11" t="s">
        <v>324</v>
      </c>
      <c r="D216" s="11">
        <v>1410170</v>
      </c>
      <c r="E216" s="225" t="s">
        <v>325</v>
      </c>
      <c r="F216" s="192" t="s">
        <v>300</v>
      </c>
      <c r="G216" s="201">
        <f>IFERROR(VLOOKUP(D216,List1!$A$5:$B$227,2,FALSE),"0")</f>
        <v>5757000</v>
      </c>
      <c r="H216" s="41" t="str">
        <f>IFERROR(VLOOKUP(D216,List1!$D$5:$E$41,2,FALSE),"0")</f>
        <v>0</v>
      </c>
      <c r="I216" s="41">
        <f>IFERROR(VLOOKUP(D216,List1!$G$5:$H$227,2,FALSE),"0")</f>
        <v>471347</v>
      </c>
      <c r="J216" s="40">
        <f t="shared" si="26"/>
        <v>6228347</v>
      </c>
      <c r="K216" s="41" t="str">
        <f>IFERROR(VLOOKUP(D216,List1!$J$5:$K$227,2,FALSE),"0")</f>
        <v>0</v>
      </c>
      <c r="L216" s="41">
        <f>IFERROR(VLOOKUP(D216,List1!$M$5:$N$112,2,FALSE),"0")</f>
        <v>153000</v>
      </c>
      <c r="M216" s="43">
        <v>0</v>
      </c>
      <c r="N216" s="80">
        <f>VLOOKUP($D$5:$D$251,List2!$A$2:$B$241,2,FALSE)</f>
        <v>0</v>
      </c>
      <c r="O216" s="80">
        <f>IFERROR(VLOOKUP($D$5:$D$260,List1!$Y$5:$Z$244,2,FALSE),0)</f>
        <v>0</v>
      </c>
      <c r="P216" s="202">
        <f>IFERROR(VLOOKUP($D$5:$D$260,List1!$AB$5:$AC$244,2,FALSE),0)</f>
        <v>0</v>
      </c>
      <c r="Q216" s="201">
        <f>IFERROR(VLOOKUP($D$5:$D$260,List1!$S$5:$T$231,2,FALSE),0)</f>
        <v>5388822</v>
      </c>
      <c r="R216" s="41">
        <v>0</v>
      </c>
      <c r="S216" s="41">
        <f>IFERROR(VLOOKUP($D$5:$D$260,List1!$AE$5:$AF$231,2,FALSE),0)</f>
        <v>1050000</v>
      </c>
      <c r="T216" s="41">
        <f t="shared" si="27"/>
        <v>6438822</v>
      </c>
      <c r="U216" s="41" t="str">
        <f>IFERROR(VLOOKUP(D216,List1!$P$5:$Q$110,2,FALSE),"0")</f>
        <v>0</v>
      </c>
      <c r="V216" s="41">
        <v>0</v>
      </c>
      <c r="W216" s="248">
        <v>0</v>
      </c>
      <c r="X216" s="211">
        <f t="shared" si="28"/>
        <v>6438822</v>
      </c>
      <c r="Y216" s="219"/>
      <c r="Z216" s="80">
        <f>IFERROR(VLOOKUP($D$5:$D$260,#REF!,3,FALSE),0)</f>
        <v>0</v>
      </c>
      <c r="AA216" s="80">
        <f>IFERROR(VLOOKUP($D$5:$D$260,#REF!,3,FALSE),0)</f>
        <v>0</v>
      </c>
      <c r="AB216" s="243">
        <v>0</v>
      </c>
      <c r="AC216" s="202">
        <f t="shared" si="29"/>
        <v>0</v>
      </c>
      <c r="AD216" s="259">
        <f t="shared" si="30"/>
        <v>0</v>
      </c>
      <c r="AE216" s="260">
        <f t="shared" si="31"/>
        <v>0</v>
      </c>
      <c r="AF216" s="260">
        <f t="shared" si="32"/>
        <v>0</v>
      </c>
      <c r="AG216" s="260">
        <f t="shared" si="33"/>
        <v>0</v>
      </c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  <c r="IX216" s="5"/>
      <c r="IY216" s="5"/>
      <c r="IZ216" s="5"/>
      <c r="JA216" s="5"/>
      <c r="JB216" s="5"/>
      <c r="JC216" s="5"/>
      <c r="JD216" s="5"/>
      <c r="JE216" s="5"/>
      <c r="JF216" s="5"/>
      <c r="JG216" s="5"/>
      <c r="JH216" s="5"/>
      <c r="JI216" s="5"/>
      <c r="JJ216" s="5"/>
      <c r="JK216" s="5"/>
      <c r="JL216" s="5"/>
      <c r="JM216" s="5"/>
      <c r="JN216" s="5"/>
      <c r="JO216" s="5"/>
      <c r="JP216" s="5"/>
      <c r="JQ216" s="5"/>
      <c r="JR216" s="5"/>
      <c r="JS216" s="5"/>
      <c r="JT216" s="5"/>
      <c r="JU216" s="5"/>
      <c r="JV216" s="5"/>
      <c r="JW216" s="5"/>
      <c r="JX216" s="5"/>
      <c r="JY216" s="5"/>
      <c r="JZ216" s="5"/>
      <c r="KA216" s="5"/>
      <c r="KB216" s="5"/>
      <c r="KC216" s="5"/>
      <c r="KD216" s="5"/>
      <c r="KE216" s="5"/>
      <c r="KF216" s="5"/>
      <c r="KG216" s="5"/>
      <c r="KH216" s="5"/>
      <c r="KI216" s="5"/>
      <c r="KJ216" s="5"/>
      <c r="KK216" s="5"/>
      <c r="KL216" s="5"/>
      <c r="KM216" s="5"/>
      <c r="KN216" s="5"/>
      <c r="KO216" s="5"/>
      <c r="KP216" s="5"/>
      <c r="KQ216" s="5"/>
      <c r="KR216" s="5"/>
      <c r="KS216" s="5"/>
      <c r="KT216" s="5"/>
      <c r="KU216" s="5"/>
      <c r="KV216" s="5"/>
      <c r="KW216" s="5"/>
      <c r="KX216" s="5"/>
      <c r="KY216" s="5"/>
      <c r="KZ216" s="5"/>
      <c r="LA216" s="5"/>
      <c r="LB216" s="5"/>
      <c r="LC216" s="5"/>
      <c r="LD216" s="5"/>
      <c r="LE216" s="5"/>
      <c r="LF216" s="5"/>
      <c r="LG216" s="5"/>
      <c r="LH216" s="5"/>
      <c r="LI216" s="5"/>
      <c r="LJ216" s="5"/>
      <c r="LK216" s="5"/>
      <c r="LL216" s="5"/>
      <c r="LM216" s="5"/>
      <c r="LN216" s="5"/>
      <c r="LO216" s="5"/>
      <c r="LP216" s="5"/>
      <c r="LQ216" s="5"/>
      <c r="LR216" s="5"/>
      <c r="LS216" s="5"/>
      <c r="LT216" s="5"/>
      <c r="LU216" s="5"/>
      <c r="LV216" s="5"/>
      <c r="LW216" s="5"/>
      <c r="LX216" s="5"/>
      <c r="LY216" s="5"/>
      <c r="LZ216" s="5"/>
      <c r="MA216" s="5"/>
      <c r="MB216" s="5"/>
      <c r="MC216" s="5"/>
      <c r="MD216" s="5"/>
      <c r="ME216" s="5"/>
      <c r="MF216" s="5"/>
      <c r="MG216" s="5"/>
      <c r="MH216" s="5"/>
      <c r="MI216" s="5"/>
      <c r="MJ216" s="5"/>
      <c r="MK216" s="5"/>
      <c r="ML216" s="5"/>
      <c r="MM216" s="5"/>
      <c r="MN216" s="5"/>
      <c r="MO216" s="5"/>
      <c r="MP216" s="5"/>
      <c r="MQ216" s="5"/>
      <c r="MR216" s="5"/>
      <c r="MS216" s="5"/>
      <c r="MT216" s="5"/>
      <c r="MU216" s="5"/>
      <c r="MV216" s="5"/>
      <c r="MW216" s="5"/>
      <c r="MX216" s="5"/>
      <c r="MY216" s="5"/>
      <c r="MZ216" s="5"/>
      <c r="NA216" s="5"/>
      <c r="NB216" s="5"/>
      <c r="NC216" s="5"/>
      <c r="ND216" s="5"/>
      <c r="NE216" s="5"/>
      <c r="NF216" s="5"/>
      <c r="NG216" s="5"/>
      <c r="NH216" s="5"/>
      <c r="NI216" s="5"/>
      <c r="NJ216" s="5"/>
      <c r="NK216" s="5"/>
      <c r="NL216" s="5"/>
      <c r="NM216" s="5"/>
      <c r="NN216" s="5"/>
      <c r="NO216" s="5"/>
      <c r="NP216" s="5"/>
      <c r="NQ216" s="5"/>
      <c r="NR216" s="5"/>
      <c r="NS216" s="5"/>
      <c r="NT216" s="5"/>
      <c r="NU216" s="5"/>
      <c r="NV216" s="5"/>
      <c r="NW216" s="5"/>
      <c r="NX216" s="5"/>
      <c r="NY216" s="5"/>
      <c r="NZ216" s="5"/>
      <c r="OA216" s="5"/>
      <c r="OB216" s="5"/>
      <c r="OC216" s="5"/>
      <c r="OD216" s="5"/>
      <c r="OE216" s="5"/>
      <c r="OF216" s="5"/>
      <c r="OG216" s="5"/>
      <c r="OH216" s="5"/>
      <c r="OI216" s="5"/>
      <c r="OJ216" s="5"/>
      <c r="OK216" s="5"/>
      <c r="OL216" s="5"/>
      <c r="OM216" s="5"/>
      <c r="ON216" s="5"/>
      <c r="OO216" s="5"/>
      <c r="OP216" s="5"/>
      <c r="OQ216" s="5"/>
      <c r="OR216" s="5"/>
      <c r="OS216" s="5"/>
      <c r="OT216" s="5"/>
      <c r="OU216" s="5"/>
      <c r="OV216" s="5"/>
      <c r="OW216" s="5"/>
      <c r="OX216" s="5"/>
      <c r="OY216" s="5"/>
      <c r="OZ216" s="5"/>
      <c r="PA216" s="5"/>
      <c r="PB216" s="5"/>
      <c r="PC216" s="5"/>
      <c r="PD216" s="5"/>
      <c r="PE216" s="5"/>
      <c r="PF216" s="5"/>
      <c r="PG216" s="5"/>
      <c r="PH216" s="5"/>
      <c r="PI216" s="5"/>
      <c r="PJ216" s="5"/>
      <c r="PK216" s="5"/>
      <c r="PL216" s="5"/>
      <c r="PM216" s="5"/>
      <c r="PN216" s="5"/>
      <c r="PO216" s="5"/>
      <c r="PP216" s="5"/>
      <c r="PQ216" s="5"/>
      <c r="PR216" s="5"/>
      <c r="PS216" s="5"/>
      <c r="PT216" s="5"/>
      <c r="PU216" s="5"/>
      <c r="PV216" s="5"/>
      <c r="PW216" s="5"/>
      <c r="PX216" s="5"/>
      <c r="PY216" s="5"/>
      <c r="PZ216" s="5"/>
      <c r="QA216" s="5"/>
      <c r="QB216" s="5"/>
      <c r="QC216" s="5"/>
      <c r="QD216" s="5"/>
      <c r="QE216" s="5"/>
      <c r="QF216" s="5"/>
      <c r="QG216" s="5"/>
      <c r="QH216" s="5"/>
      <c r="QI216" s="5"/>
      <c r="QJ216" s="5"/>
      <c r="QK216" s="5"/>
      <c r="QL216" s="5"/>
      <c r="QM216" s="5"/>
      <c r="QN216" s="5"/>
      <c r="QO216" s="5"/>
      <c r="QP216" s="5"/>
      <c r="QQ216" s="5"/>
      <c r="QR216" s="5"/>
      <c r="QS216" s="5"/>
      <c r="QT216" s="5"/>
      <c r="QU216" s="5"/>
      <c r="QV216" s="5"/>
      <c r="QW216" s="5"/>
      <c r="QX216" s="5"/>
      <c r="QY216" s="5"/>
      <c r="QZ216" s="5"/>
      <c r="RA216" s="5"/>
      <c r="RB216" s="5"/>
      <c r="RC216" s="5"/>
      <c r="RD216" s="5"/>
      <c r="RE216" s="5"/>
      <c r="RF216" s="5"/>
      <c r="RG216" s="5"/>
      <c r="RH216" s="5"/>
      <c r="RI216" s="5"/>
      <c r="RJ216" s="5"/>
      <c r="RK216" s="5"/>
      <c r="RL216" s="5"/>
      <c r="RM216" s="5"/>
      <c r="RN216" s="5"/>
      <c r="RO216" s="5"/>
      <c r="RP216" s="5"/>
      <c r="RQ216" s="5"/>
      <c r="RR216" s="5"/>
      <c r="RS216" s="5"/>
      <c r="RT216" s="5"/>
      <c r="RU216" s="5"/>
      <c r="RV216" s="5"/>
      <c r="RW216" s="5"/>
      <c r="RX216" s="5"/>
      <c r="RY216" s="5"/>
      <c r="RZ216" s="5"/>
      <c r="SA216" s="5"/>
      <c r="SB216" s="5"/>
      <c r="SC216" s="5"/>
      <c r="SD216" s="5"/>
      <c r="SE216" s="5"/>
      <c r="SF216" s="5"/>
      <c r="SG216" s="5"/>
      <c r="SH216" s="5"/>
      <c r="SI216" s="5"/>
      <c r="SJ216" s="5"/>
      <c r="SK216" s="5"/>
      <c r="SL216" s="5"/>
      <c r="SM216" s="5"/>
      <c r="SN216" s="5"/>
      <c r="SO216" s="5"/>
      <c r="SP216" s="5"/>
      <c r="SQ216" s="5"/>
      <c r="SR216" s="5"/>
      <c r="SS216" s="5"/>
      <c r="ST216" s="5"/>
      <c r="SU216" s="5"/>
      <c r="SV216" s="5"/>
      <c r="SW216" s="5"/>
      <c r="SX216" s="5"/>
      <c r="SY216" s="5"/>
      <c r="SZ216" s="5"/>
      <c r="TA216" s="5"/>
      <c r="TB216" s="5"/>
      <c r="TC216" s="5"/>
      <c r="TD216" s="5"/>
      <c r="TE216" s="5"/>
      <c r="TF216" s="5"/>
      <c r="TG216" s="5"/>
      <c r="TH216" s="5"/>
      <c r="TI216" s="5"/>
      <c r="TJ216" s="5"/>
      <c r="TK216" s="5"/>
      <c r="TL216" s="5"/>
      <c r="TM216" s="5"/>
      <c r="TN216" s="5"/>
      <c r="TO216" s="5"/>
      <c r="TP216" s="5"/>
      <c r="TQ216" s="5"/>
      <c r="TR216" s="5"/>
      <c r="TS216" s="5"/>
      <c r="TT216" s="5"/>
      <c r="TU216" s="5"/>
      <c r="TV216" s="5"/>
      <c r="TW216" s="5"/>
      <c r="TX216" s="5"/>
      <c r="TY216" s="5"/>
      <c r="TZ216" s="5"/>
      <c r="UA216" s="5"/>
      <c r="UB216" s="5"/>
      <c r="UC216" s="5"/>
      <c r="UD216" s="5"/>
      <c r="UE216" s="5"/>
      <c r="UF216" s="5"/>
      <c r="UG216" s="5"/>
      <c r="UH216" s="5"/>
      <c r="UI216" s="5"/>
      <c r="UJ216" s="5"/>
      <c r="UK216" s="5"/>
      <c r="UL216" s="5"/>
      <c r="UM216" s="5"/>
      <c r="UN216" s="5"/>
      <c r="UO216" s="5"/>
      <c r="UP216" s="5"/>
      <c r="UQ216" s="5"/>
      <c r="UR216" s="5"/>
      <c r="US216" s="5"/>
      <c r="UT216" s="5"/>
      <c r="UU216" s="5"/>
      <c r="UV216" s="5"/>
      <c r="UW216" s="5"/>
      <c r="UX216" s="5"/>
      <c r="UY216" s="5"/>
      <c r="UZ216" s="5"/>
      <c r="VA216" s="5"/>
      <c r="VB216" s="5"/>
      <c r="VC216" s="5"/>
      <c r="VD216" s="5"/>
      <c r="VE216" s="5"/>
      <c r="VF216" s="5"/>
      <c r="VG216" s="5"/>
      <c r="VH216" s="5"/>
      <c r="VI216" s="5"/>
      <c r="VJ216" s="5"/>
      <c r="VK216" s="5"/>
      <c r="VL216" s="5"/>
      <c r="VM216" s="5"/>
      <c r="VN216" s="5"/>
      <c r="VO216" s="5"/>
      <c r="VP216" s="5"/>
      <c r="VQ216" s="5"/>
      <c r="VR216" s="5"/>
      <c r="VS216" s="5"/>
      <c r="VT216" s="5"/>
    </row>
    <row r="217" spans="1:592" s="34" customFormat="1" ht="63" x14ac:dyDescent="0.2">
      <c r="A217" s="10" t="s">
        <v>451</v>
      </c>
      <c r="B217" s="11">
        <v>72745339</v>
      </c>
      <c r="C217" s="11" t="s">
        <v>324</v>
      </c>
      <c r="D217" s="11">
        <v>8788790</v>
      </c>
      <c r="E217" s="225" t="s">
        <v>285</v>
      </c>
      <c r="F217" s="192" t="s">
        <v>278</v>
      </c>
      <c r="G217" s="201">
        <f>IFERROR(VLOOKUP(D217,List1!$A$5:$B$227,2,FALSE),"0")</f>
        <v>8307000</v>
      </c>
      <c r="H217" s="41" t="str">
        <f>IFERROR(VLOOKUP(D217,List1!$D$5:$E$41,2,FALSE),"0")</f>
        <v>0</v>
      </c>
      <c r="I217" s="41">
        <f>IFERROR(VLOOKUP(D217,List1!$G$5:$H$227,2,FALSE),"0")</f>
        <v>3741967.11</v>
      </c>
      <c r="J217" s="40">
        <f t="shared" si="26"/>
        <v>12048967.109999999</v>
      </c>
      <c r="K217" s="41" t="str">
        <f>IFERROR(VLOOKUP(D217,List1!$J$5:$K$227,2,FALSE),"0")</f>
        <v>0</v>
      </c>
      <c r="L217" s="41">
        <f>IFERROR(VLOOKUP(D217,List1!$M$5:$N$112,2,FALSE),"0")</f>
        <v>278000</v>
      </c>
      <c r="M217" s="43">
        <v>0</v>
      </c>
      <c r="N217" s="80">
        <f>VLOOKUP($D$5:$D$251,List2!$A$2:$B$241,2,FALSE)</f>
        <v>0</v>
      </c>
      <c r="O217" s="80">
        <f>IFERROR(VLOOKUP($D$5:$D$260,List1!$Y$5:$Z$244,2,FALSE),0)</f>
        <v>0</v>
      </c>
      <c r="P217" s="202">
        <f>IFERROR(VLOOKUP($D$5:$D$260,List1!$AB$5:$AC$244,2,FALSE),0)</f>
        <v>0</v>
      </c>
      <c r="Q217" s="201">
        <f>IFERROR(VLOOKUP($D$5:$D$260,List1!$S$5:$T$231,2,FALSE),0)</f>
        <v>9862097</v>
      </c>
      <c r="R217" s="41">
        <v>0</v>
      </c>
      <c r="S217" s="41">
        <f>IFERROR(VLOOKUP($D$5:$D$260,List1!$AE$5:$AF$231,2,FALSE),0)</f>
        <v>484611</v>
      </c>
      <c r="T217" s="41">
        <f t="shared" si="27"/>
        <v>10346708</v>
      </c>
      <c r="U217" s="41" t="str">
        <f>IFERROR(VLOOKUP(D217,List1!$P$5:$Q$110,2,FALSE),"0")</f>
        <v>0</v>
      </c>
      <c r="V217" s="41">
        <v>0</v>
      </c>
      <c r="W217" s="248">
        <v>0</v>
      </c>
      <c r="X217" s="211">
        <f t="shared" si="28"/>
        <v>10346708</v>
      </c>
      <c r="Y217" s="219"/>
      <c r="Z217" s="80">
        <f>IFERROR(VLOOKUP($D$5:$D$260,#REF!,3,FALSE),0)</f>
        <v>0</v>
      </c>
      <c r="AA217" s="80">
        <f>IFERROR(VLOOKUP($D$5:$D$260,#REF!,3,FALSE),0)</f>
        <v>0</v>
      </c>
      <c r="AB217" s="243">
        <v>0</v>
      </c>
      <c r="AC217" s="202">
        <f t="shared" si="29"/>
        <v>0</v>
      </c>
      <c r="AD217" s="259">
        <f t="shared" si="30"/>
        <v>0</v>
      </c>
      <c r="AE217" s="260">
        <f t="shared" si="31"/>
        <v>0</v>
      </c>
      <c r="AF217" s="260">
        <f t="shared" si="32"/>
        <v>0</v>
      </c>
      <c r="AG217" s="260">
        <f t="shared" si="33"/>
        <v>0</v>
      </c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  <c r="IX217" s="5"/>
      <c r="IY217" s="5"/>
      <c r="IZ217" s="5"/>
      <c r="JA217" s="5"/>
      <c r="JB217" s="5"/>
      <c r="JC217" s="5"/>
      <c r="JD217" s="5"/>
      <c r="JE217" s="5"/>
      <c r="JF217" s="5"/>
      <c r="JG217" s="5"/>
      <c r="JH217" s="5"/>
      <c r="JI217" s="5"/>
      <c r="JJ217" s="5"/>
      <c r="JK217" s="5"/>
      <c r="JL217" s="5"/>
      <c r="JM217" s="5"/>
      <c r="JN217" s="5"/>
      <c r="JO217" s="5"/>
      <c r="JP217" s="5"/>
      <c r="JQ217" s="5"/>
      <c r="JR217" s="5"/>
      <c r="JS217" s="5"/>
      <c r="JT217" s="5"/>
      <c r="JU217" s="5"/>
      <c r="JV217" s="5"/>
      <c r="JW217" s="5"/>
      <c r="JX217" s="5"/>
      <c r="JY217" s="5"/>
      <c r="JZ217" s="5"/>
      <c r="KA217" s="5"/>
      <c r="KB217" s="5"/>
      <c r="KC217" s="5"/>
      <c r="KD217" s="5"/>
      <c r="KE217" s="5"/>
      <c r="KF217" s="5"/>
      <c r="KG217" s="5"/>
      <c r="KH217" s="5"/>
      <c r="KI217" s="5"/>
      <c r="KJ217" s="5"/>
      <c r="KK217" s="5"/>
      <c r="KL217" s="5"/>
      <c r="KM217" s="5"/>
      <c r="KN217" s="5"/>
      <c r="KO217" s="5"/>
      <c r="KP217" s="5"/>
      <c r="KQ217" s="5"/>
      <c r="KR217" s="5"/>
      <c r="KS217" s="5"/>
      <c r="KT217" s="5"/>
      <c r="KU217" s="5"/>
      <c r="KV217" s="5"/>
      <c r="KW217" s="5"/>
      <c r="KX217" s="5"/>
      <c r="KY217" s="5"/>
      <c r="KZ217" s="5"/>
      <c r="LA217" s="5"/>
      <c r="LB217" s="5"/>
      <c r="LC217" s="5"/>
      <c r="LD217" s="5"/>
      <c r="LE217" s="5"/>
      <c r="LF217" s="5"/>
      <c r="LG217" s="5"/>
      <c r="LH217" s="5"/>
      <c r="LI217" s="5"/>
      <c r="LJ217" s="5"/>
      <c r="LK217" s="5"/>
      <c r="LL217" s="5"/>
      <c r="LM217" s="5"/>
      <c r="LN217" s="5"/>
      <c r="LO217" s="5"/>
      <c r="LP217" s="5"/>
      <c r="LQ217" s="5"/>
      <c r="LR217" s="5"/>
      <c r="LS217" s="5"/>
      <c r="LT217" s="5"/>
      <c r="LU217" s="5"/>
      <c r="LV217" s="5"/>
      <c r="LW217" s="5"/>
      <c r="LX217" s="5"/>
      <c r="LY217" s="5"/>
      <c r="LZ217" s="5"/>
      <c r="MA217" s="5"/>
      <c r="MB217" s="5"/>
      <c r="MC217" s="5"/>
      <c r="MD217" s="5"/>
      <c r="ME217" s="5"/>
      <c r="MF217" s="5"/>
      <c r="MG217" s="5"/>
      <c r="MH217" s="5"/>
      <c r="MI217" s="5"/>
      <c r="MJ217" s="5"/>
      <c r="MK217" s="5"/>
      <c r="ML217" s="5"/>
      <c r="MM217" s="5"/>
      <c r="MN217" s="5"/>
      <c r="MO217" s="5"/>
      <c r="MP217" s="5"/>
      <c r="MQ217" s="5"/>
      <c r="MR217" s="5"/>
      <c r="MS217" s="5"/>
      <c r="MT217" s="5"/>
      <c r="MU217" s="5"/>
      <c r="MV217" s="5"/>
      <c r="MW217" s="5"/>
      <c r="MX217" s="5"/>
      <c r="MY217" s="5"/>
      <c r="MZ217" s="5"/>
      <c r="NA217" s="5"/>
      <c r="NB217" s="5"/>
      <c r="NC217" s="5"/>
      <c r="ND217" s="5"/>
      <c r="NE217" s="5"/>
      <c r="NF217" s="5"/>
      <c r="NG217" s="5"/>
      <c r="NH217" s="5"/>
      <c r="NI217" s="5"/>
      <c r="NJ217" s="5"/>
      <c r="NK217" s="5"/>
      <c r="NL217" s="5"/>
      <c r="NM217" s="5"/>
      <c r="NN217" s="5"/>
      <c r="NO217" s="5"/>
      <c r="NP217" s="5"/>
      <c r="NQ217" s="5"/>
      <c r="NR217" s="5"/>
      <c r="NS217" s="5"/>
      <c r="NT217" s="5"/>
      <c r="NU217" s="5"/>
      <c r="NV217" s="5"/>
      <c r="NW217" s="5"/>
      <c r="NX217" s="5"/>
      <c r="NY217" s="5"/>
      <c r="NZ217" s="5"/>
      <c r="OA217" s="5"/>
      <c r="OB217" s="5"/>
      <c r="OC217" s="5"/>
      <c r="OD217" s="5"/>
      <c r="OE217" s="5"/>
      <c r="OF217" s="5"/>
      <c r="OG217" s="5"/>
      <c r="OH217" s="5"/>
      <c r="OI217" s="5"/>
      <c r="OJ217" s="5"/>
      <c r="OK217" s="5"/>
      <c r="OL217" s="5"/>
      <c r="OM217" s="5"/>
      <c r="ON217" s="5"/>
      <c r="OO217" s="5"/>
      <c r="OP217" s="5"/>
      <c r="OQ217" s="5"/>
      <c r="OR217" s="5"/>
      <c r="OS217" s="5"/>
      <c r="OT217" s="5"/>
      <c r="OU217" s="5"/>
      <c r="OV217" s="5"/>
      <c r="OW217" s="5"/>
      <c r="OX217" s="5"/>
      <c r="OY217" s="5"/>
      <c r="OZ217" s="5"/>
      <c r="PA217" s="5"/>
      <c r="PB217" s="5"/>
      <c r="PC217" s="5"/>
      <c r="PD217" s="5"/>
      <c r="PE217" s="5"/>
      <c r="PF217" s="5"/>
      <c r="PG217" s="5"/>
      <c r="PH217" s="5"/>
      <c r="PI217" s="5"/>
      <c r="PJ217" s="5"/>
      <c r="PK217" s="5"/>
      <c r="PL217" s="5"/>
      <c r="PM217" s="5"/>
      <c r="PN217" s="5"/>
      <c r="PO217" s="5"/>
      <c r="PP217" s="5"/>
      <c r="PQ217" s="5"/>
      <c r="PR217" s="5"/>
      <c r="PS217" s="5"/>
      <c r="PT217" s="5"/>
      <c r="PU217" s="5"/>
      <c r="PV217" s="5"/>
      <c r="PW217" s="5"/>
      <c r="PX217" s="5"/>
      <c r="PY217" s="5"/>
      <c r="PZ217" s="5"/>
      <c r="QA217" s="5"/>
      <c r="QB217" s="5"/>
      <c r="QC217" s="5"/>
      <c r="QD217" s="5"/>
      <c r="QE217" s="5"/>
      <c r="QF217" s="5"/>
      <c r="QG217" s="5"/>
      <c r="QH217" s="5"/>
      <c r="QI217" s="5"/>
      <c r="QJ217" s="5"/>
      <c r="QK217" s="5"/>
      <c r="QL217" s="5"/>
      <c r="QM217" s="5"/>
      <c r="QN217" s="5"/>
      <c r="QO217" s="5"/>
      <c r="QP217" s="5"/>
      <c r="QQ217" s="5"/>
      <c r="QR217" s="5"/>
      <c r="QS217" s="5"/>
      <c r="QT217" s="5"/>
      <c r="QU217" s="5"/>
      <c r="QV217" s="5"/>
      <c r="QW217" s="5"/>
      <c r="QX217" s="5"/>
      <c r="QY217" s="5"/>
      <c r="QZ217" s="5"/>
      <c r="RA217" s="5"/>
      <c r="RB217" s="5"/>
      <c r="RC217" s="5"/>
      <c r="RD217" s="5"/>
      <c r="RE217" s="5"/>
      <c r="RF217" s="5"/>
      <c r="RG217" s="5"/>
      <c r="RH217" s="5"/>
      <c r="RI217" s="5"/>
      <c r="RJ217" s="5"/>
      <c r="RK217" s="5"/>
      <c r="RL217" s="5"/>
      <c r="RM217" s="5"/>
      <c r="RN217" s="5"/>
      <c r="RO217" s="5"/>
      <c r="RP217" s="5"/>
      <c r="RQ217" s="5"/>
      <c r="RR217" s="5"/>
      <c r="RS217" s="5"/>
      <c r="RT217" s="5"/>
      <c r="RU217" s="5"/>
      <c r="RV217" s="5"/>
      <c r="RW217" s="5"/>
      <c r="RX217" s="5"/>
      <c r="RY217" s="5"/>
      <c r="RZ217" s="5"/>
      <c r="SA217" s="5"/>
      <c r="SB217" s="5"/>
      <c r="SC217" s="5"/>
      <c r="SD217" s="5"/>
      <c r="SE217" s="5"/>
      <c r="SF217" s="5"/>
      <c r="SG217" s="5"/>
      <c r="SH217" s="5"/>
      <c r="SI217" s="5"/>
      <c r="SJ217" s="5"/>
      <c r="SK217" s="5"/>
      <c r="SL217" s="5"/>
      <c r="SM217" s="5"/>
      <c r="SN217" s="5"/>
      <c r="SO217" s="5"/>
      <c r="SP217" s="5"/>
      <c r="SQ217" s="5"/>
      <c r="SR217" s="5"/>
      <c r="SS217" s="5"/>
      <c r="ST217" s="5"/>
      <c r="SU217" s="5"/>
      <c r="SV217" s="5"/>
      <c r="SW217" s="5"/>
      <c r="SX217" s="5"/>
      <c r="SY217" s="5"/>
      <c r="SZ217" s="5"/>
      <c r="TA217" s="5"/>
      <c r="TB217" s="5"/>
      <c r="TC217" s="5"/>
      <c r="TD217" s="5"/>
      <c r="TE217" s="5"/>
      <c r="TF217" s="5"/>
      <c r="TG217" s="5"/>
      <c r="TH217" s="5"/>
      <c r="TI217" s="5"/>
      <c r="TJ217" s="5"/>
      <c r="TK217" s="5"/>
      <c r="TL217" s="5"/>
      <c r="TM217" s="5"/>
      <c r="TN217" s="5"/>
      <c r="TO217" s="5"/>
      <c r="TP217" s="5"/>
      <c r="TQ217" s="5"/>
      <c r="TR217" s="5"/>
      <c r="TS217" s="5"/>
      <c r="TT217" s="5"/>
      <c r="TU217" s="5"/>
      <c r="TV217" s="5"/>
      <c r="TW217" s="5"/>
      <c r="TX217" s="5"/>
      <c r="TY217" s="5"/>
      <c r="TZ217" s="5"/>
      <c r="UA217" s="5"/>
      <c r="UB217" s="5"/>
      <c r="UC217" s="5"/>
      <c r="UD217" s="5"/>
      <c r="UE217" s="5"/>
      <c r="UF217" s="5"/>
      <c r="UG217" s="5"/>
      <c r="UH217" s="5"/>
      <c r="UI217" s="5"/>
      <c r="UJ217" s="5"/>
      <c r="UK217" s="5"/>
      <c r="UL217" s="5"/>
      <c r="UM217" s="5"/>
      <c r="UN217" s="5"/>
      <c r="UO217" s="5"/>
      <c r="UP217" s="5"/>
      <c r="UQ217" s="5"/>
      <c r="UR217" s="5"/>
      <c r="US217" s="5"/>
      <c r="UT217" s="5"/>
      <c r="UU217" s="5"/>
      <c r="UV217" s="5"/>
      <c r="UW217" s="5"/>
      <c r="UX217" s="5"/>
      <c r="UY217" s="5"/>
      <c r="UZ217" s="5"/>
      <c r="VA217" s="5"/>
      <c r="VB217" s="5"/>
      <c r="VC217" s="5"/>
      <c r="VD217" s="5"/>
      <c r="VE217" s="5"/>
      <c r="VF217" s="5"/>
      <c r="VG217" s="5"/>
      <c r="VH217" s="5"/>
      <c r="VI217" s="5"/>
      <c r="VJ217" s="5"/>
      <c r="VK217" s="5"/>
      <c r="VL217" s="5"/>
      <c r="VM217" s="5"/>
      <c r="VN217" s="5"/>
      <c r="VO217" s="5"/>
      <c r="VP217" s="5"/>
      <c r="VQ217" s="5"/>
      <c r="VR217" s="5"/>
      <c r="VS217" s="5"/>
      <c r="VT217" s="5"/>
    </row>
    <row r="218" spans="1:592" s="36" customFormat="1" ht="63" x14ac:dyDescent="0.2">
      <c r="A218" s="10" t="s">
        <v>451</v>
      </c>
      <c r="B218" s="11">
        <v>72745339</v>
      </c>
      <c r="C218" s="11" t="s">
        <v>324</v>
      </c>
      <c r="D218" s="11">
        <v>6732891</v>
      </c>
      <c r="E218" s="228" t="s">
        <v>364</v>
      </c>
      <c r="F218" s="192" t="s">
        <v>278</v>
      </c>
      <c r="G218" s="201">
        <f>IFERROR(VLOOKUP(D218,List1!$A$5:$B$227,2,FALSE),"0")</f>
        <v>2147000</v>
      </c>
      <c r="H218" s="41" t="str">
        <f>IFERROR(VLOOKUP(D218,List1!$D$5:$E$41,2,FALSE),"0")</f>
        <v>0</v>
      </c>
      <c r="I218" s="41">
        <f>IFERROR(VLOOKUP(D218,List1!$G$5:$H$227,2,FALSE),"0")</f>
        <v>828000</v>
      </c>
      <c r="J218" s="40">
        <f t="shared" si="26"/>
        <v>2975000</v>
      </c>
      <c r="K218" s="41" t="str">
        <f>IFERROR(VLOOKUP(D218,List1!$J$5:$K$227,2,FALSE),"0")</f>
        <v>0</v>
      </c>
      <c r="L218" s="41">
        <f>IFERROR(VLOOKUP(D218,List1!$M$5:$N$112,2,FALSE),"0")</f>
        <v>57000</v>
      </c>
      <c r="M218" s="43">
        <v>0</v>
      </c>
      <c r="N218" s="80">
        <f>VLOOKUP($D$5:$D$251,List2!$A$2:$B$241,2,FALSE)</f>
        <v>0</v>
      </c>
      <c r="O218" s="80">
        <f>IFERROR(VLOOKUP($D$5:$D$260,List1!$Y$5:$Z$244,2,FALSE),0)</f>
        <v>0</v>
      </c>
      <c r="P218" s="202">
        <f>IFERROR(VLOOKUP($D$5:$D$260,List1!$AB$5:$AC$244,2,FALSE),0)</f>
        <v>0</v>
      </c>
      <c r="Q218" s="201">
        <f>IFERROR(VLOOKUP($D$5:$D$260,List1!$S$5:$T$231,2,FALSE),0)</f>
        <v>2470133</v>
      </c>
      <c r="R218" s="41">
        <v>0</v>
      </c>
      <c r="S218" s="41">
        <f>IFERROR(VLOOKUP($D$5:$D$260,List1!$AE$5:$AF$231,2,FALSE),0)</f>
        <v>100000</v>
      </c>
      <c r="T218" s="41">
        <f t="shared" si="27"/>
        <v>2570133</v>
      </c>
      <c r="U218" s="41" t="str">
        <f>IFERROR(VLOOKUP(D218,List1!$P$5:$Q$110,2,FALSE),"0")</f>
        <v>0</v>
      </c>
      <c r="V218" s="41">
        <v>0</v>
      </c>
      <c r="W218" s="248">
        <v>0</v>
      </c>
      <c r="X218" s="211">
        <f t="shared" si="28"/>
        <v>2570133</v>
      </c>
      <c r="Y218" s="219"/>
      <c r="Z218" s="80">
        <f>IFERROR(VLOOKUP($D$5:$D$260,#REF!,3,FALSE),0)</f>
        <v>0</v>
      </c>
      <c r="AA218" s="80">
        <f>IFERROR(VLOOKUP($D$5:$D$260,#REF!,3,FALSE),0)</f>
        <v>0</v>
      </c>
      <c r="AB218" s="243">
        <v>0</v>
      </c>
      <c r="AC218" s="202">
        <f t="shared" si="29"/>
        <v>0</v>
      </c>
      <c r="AD218" s="259">
        <f t="shared" si="30"/>
        <v>0</v>
      </c>
      <c r="AE218" s="260">
        <f t="shared" si="31"/>
        <v>0</v>
      </c>
      <c r="AF218" s="260">
        <f t="shared" si="32"/>
        <v>0</v>
      </c>
      <c r="AG218" s="260">
        <f t="shared" si="33"/>
        <v>0</v>
      </c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  <c r="IX218" s="5"/>
      <c r="IY218" s="5"/>
      <c r="IZ218" s="5"/>
      <c r="JA218" s="5"/>
      <c r="JB218" s="5"/>
      <c r="JC218" s="5"/>
      <c r="JD218" s="5"/>
      <c r="JE218" s="5"/>
      <c r="JF218" s="5"/>
      <c r="JG218" s="5"/>
      <c r="JH218" s="5"/>
      <c r="JI218" s="5"/>
      <c r="JJ218" s="5"/>
      <c r="JK218" s="5"/>
      <c r="JL218" s="5"/>
      <c r="JM218" s="5"/>
      <c r="JN218" s="5"/>
      <c r="JO218" s="5"/>
      <c r="JP218" s="5"/>
      <c r="JQ218" s="5"/>
      <c r="JR218" s="5"/>
      <c r="JS218" s="5"/>
      <c r="JT218" s="5"/>
      <c r="JU218" s="5"/>
      <c r="JV218" s="5"/>
      <c r="JW218" s="5"/>
      <c r="JX218" s="5"/>
      <c r="JY218" s="5"/>
      <c r="JZ218" s="5"/>
      <c r="KA218" s="5"/>
      <c r="KB218" s="5"/>
      <c r="KC218" s="5"/>
      <c r="KD218" s="5"/>
      <c r="KE218" s="5"/>
      <c r="KF218" s="5"/>
      <c r="KG218" s="5"/>
      <c r="KH218" s="5"/>
      <c r="KI218" s="5"/>
      <c r="KJ218" s="5"/>
      <c r="KK218" s="5"/>
      <c r="KL218" s="5"/>
      <c r="KM218" s="5"/>
      <c r="KN218" s="5"/>
      <c r="KO218" s="5"/>
      <c r="KP218" s="5"/>
      <c r="KQ218" s="5"/>
      <c r="KR218" s="5"/>
      <c r="KS218" s="5"/>
      <c r="KT218" s="5"/>
      <c r="KU218" s="5"/>
      <c r="KV218" s="5"/>
      <c r="KW218" s="5"/>
      <c r="KX218" s="5"/>
      <c r="KY218" s="5"/>
      <c r="KZ218" s="5"/>
      <c r="LA218" s="5"/>
      <c r="LB218" s="5"/>
      <c r="LC218" s="5"/>
      <c r="LD218" s="5"/>
      <c r="LE218" s="5"/>
      <c r="LF218" s="5"/>
      <c r="LG218" s="5"/>
      <c r="LH218" s="5"/>
      <c r="LI218" s="5"/>
      <c r="LJ218" s="5"/>
      <c r="LK218" s="5"/>
      <c r="LL218" s="5"/>
      <c r="LM218" s="5"/>
      <c r="LN218" s="5"/>
      <c r="LO218" s="5"/>
      <c r="LP218" s="5"/>
      <c r="LQ218" s="5"/>
      <c r="LR218" s="5"/>
      <c r="LS218" s="5"/>
      <c r="LT218" s="5"/>
      <c r="LU218" s="5"/>
      <c r="LV218" s="5"/>
      <c r="LW218" s="5"/>
      <c r="LX218" s="5"/>
      <c r="LY218" s="5"/>
      <c r="LZ218" s="5"/>
      <c r="MA218" s="5"/>
      <c r="MB218" s="5"/>
      <c r="MC218" s="5"/>
      <c r="MD218" s="5"/>
      <c r="ME218" s="5"/>
      <c r="MF218" s="5"/>
      <c r="MG218" s="5"/>
      <c r="MH218" s="5"/>
      <c r="MI218" s="5"/>
      <c r="MJ218" s="5"/>
      <c r="MK218" s="5"/>
      <c r="ML218" s="5"/>
      <c r="MM218" s="5"/>
      <c r="MN218" s="5"/>
      <c r="MO218" s="5"/>
      <c r="MP218" s="5"/>
      <c r="MQ218" s="5"/>
      <c r="MR218" s="5"/>
      <c r="MS218" s="5"/>
      <c r="MT218" s="5"/>
      <c r="MU218" s="5"/>
      <c r="MV218" s="5"/>
      <c r="MW218" s="5"/>
      <c r="MX218" s="5"/>
      <c r="MY218" s="5"/>
      <c r="MZ218" s="5"/>
      <c r="NA218" s="5"/>
      <c r="NB218" s="5"/>
      <c r="NC218" s="5"/>
      <c r="ND218" s="5"/>
      <c r="NE218" s="5"/>
      <c r="NF218" s="5"/>
      <c r="NG218" s="5"/>
      <c r="NH218" s="5"/>
      <c r="NI218" s="5"/>
      <c r="NJ218" s="5"/>
      <c r="NK218" s="5"/>
      <c r="NL218" s="5"/>
      <c r="NM218" s="5"/>
      <c r="NN218" s="5"/>
      <c r="NO218" s="5"/>
      <c r="NP218" s="5"/>
      <c r="NQ218" s="5"/>
      <c r="NR218" s="5"/>
      <c r="NS218" s="5"/>
      <c r="NT218" s="5"/>
      <c r="NU218" s="5"/>
      <c r="NV218" s="5"/>
      <c r="NW218" s="5"/>
      <c r="NX218" s="5"/>
      <c r="NY218" s="5"/>
      <c r="NZ218" s="5"/>
      <c r="OA218" s="5"/>
      <c r="OB218" s="5"/>
      <c r="OC218" s="5"/>
      <c r="OD218" s="5"/>
      <c r="OE218" s="5"/>
      <c r="OF218" s="5"/>
      <c r="OG218" s="5"/>
      <c r="OH218" s="5"/>
      <c r="OI218" s="5"/>
      <c r="OJ218" s="5"/>
      <c r="OK218" s="5"/>
      <c r="OL218" s="5"/>
      <c r="OM218" s="5"/>
      <c r="ON218" s="5"/>
      <c r="OO218" s="5"/>
      <c r="OP218" s="5"/>
      <c r="OQ218" s="5"/>
      <c r="OR218" s="5"/>
      <c r="OS218" s="5"/>
      <c r="OT218" s="5"/>
      <c r="OU218" s="5"/>
      <c r="OV218" s="5"/>
      <c r="OW218" s="5"/>
      <c r="OX218" s="5"/>
      <c r="OY218" s="5"/>
      <c r="OZ218" s="5"/>
      <c r="PA218" s="5"/>
      <c r="PB218" s="5"/>
      <c r="PC218" s="5"/>
      <c r="PD218" s="5"/>
      <c r="PE218" s="5"/>
      <c r="PF218" s="5"/>
      <c r="PG218" s="5"/>
      <c r="PH218" s="5"/>
      <c r="PI218" s="5"/>
      <c r="PJ218" s="5"/>
      <c r="PK218" s="5"/>
      <c r="PL218" s="5"/>
      <c r="PM218" s="5"/>
      <c r="PN218" s="5"/>
      <c r="PO218" s="5"/>
      <c r="PP218" s="5"/>
      <c r="PQ218" s="5"/>
      <c r="PR218" s="5"/>
      <c r="PS218" s="5"/>
      <c r="PT218" s="5"/>
      <c r="PU218" s="5"/>
      <c r="PV218" s="5"/>
      <c r="PW218" s="5"/>
      <c r="PX218" s="5"/>
      <c r="PY218" s="5"/>
      <c r="PZ218" s="5"/>
      <c r="QA218" s="5"/>
      <c r="QB218" s="5"/>
      <c r="QC218" s="5"/>
      <c r="QD218" s="5"/>
      <c r="QE218" s="5"/>
      <c r="QF218" s="5"/>
      <c r="QG218" s="5"/>
      <c r="QH218" s="5"/>
      <c r="QI218" s="5"/>
      <c r="QJ218" s="5"/>
      <c r="QK218" s="5"/>
      <c r="QL218" s="5"/>
      <c r="QM218" s="5"/>
      <c r="QN218" s="5"/>
      <c r="QO218" s="5"/>
      <c r="QP218" s="5"/>
      <c r="QQ218" s="5"/>
      <c r="QR218" s="5"/>
      <c r="QS218" s="5"/>
      <c r="QT218" s="5"/>
      <c r="QU218" s="5"/>
      <c r="QV218" s="5"/>
      <c r="QW218" s="5"/>
      <c r="QX218" s="5"/>
      <c r="QY218" s="5"/>
      <c r="QZ218" s="5"/>
      <c r="RA218" s="5"/>
      <c r="RB218" s="5"/>
      <c r="RC218" s="5"/>
      <c r="RD218" s="5"/>
      <c r="RE218" s="5"/>
      <c r="RF218" s="5"/>
      <c r="RG218" s="5"/>
      <c r="RH218" s="5"/>
      <c r="RI218" s="5"/>
      <c r="RJ218" s="5"/>
      <c r="RK218" s="5"/>
      <c r="RL218" s="5"/>
      <c r="RM218" s="5"/>
      <c r="RN218" s="5"/>
      <c r="RO218" s="5"/>
      <c r="RP218" s="5"/>
      <c r="RQ218" s="5"/>
      <c r="RR218" s="5"/>
      <c r="RS218" s="5"/>
      <c r="RT218" s="5"/>
      <c r="RU218" s="5"/>
      <c r="RV218" s="5"/>
      <c r="RW218" s="5"/>
      <c r="RX218" s="5"/>
      <c r="RY218" s="5"/>
      <c r="RZ218" s="5"/>
      <c r="SA218" s="5"/>
      <c r="SB218" s="5"/>
      <c r="SC218" s="5"/>
      <c r="SD218" s="5"/>
      <c r="SE218" s="5"/>
      <c r="SF218" s="5"/>
      <c r="SG218" s="5"/>
      <c r="SH218" s="5"/>
      <c r="SI218" s="5"/>
      <c r="SJ218" s="5"/>
      <c r="SK218" s="5"/>
      <c r="SL218" s="5"/>
      <c r="SM218" s="5"/>
      <c r="SN218" s="5"/>
      <c r="SO218" s="5"/>
      <c r="SP218" s="5"/>
      <c r="SQ218" s="5"/>
      <c r="SR218" s="5"/>
      <c r="SS218" s="5"/>
      <c r="ST218" s="5"/>
      <c r="SU218" s="5"/>
      <c r="SV218" s="5"/>
      <c r="SW218" s="5"/>
      <c r="SX218" s="5"/>
      <c r="SY218" s="5"/>
      <c r="SZ218" s="5"/>
      <c r="TA218" s="5"/>
      <c r="TB218" s="5"/>
      <c r="TC218" s="5"/>
      <c r="TD218" s="5"/>
      <c r="TE218" s="5"/>
      <c r="TF218" s="5"/>
      <c r="TG218" s="5"/>
      <c r="TH218" s="5"/>
      <c r="TI218" s="5"/>
      <c r="TJ218" s="5"/>
      <c r="TK218" s="5"/>
      <c r="TL218" s="5"/>
      <c r="TM218" s="5"/>
      <c r="TN218" s="5"/>
      <c r="TO218" s="5"/>
      <c r="TP218" s="5"/>
      <c r="TQ218" s="5"/>
      <c r="TR218" s="5"/>
      <c r="TS218" s="5"/>
      <c r="TT218" s="5"/>
      <c r="TU218" s="5"/>
      <c r="TV218" s="5"/>
      <c r="TW218" s="5"/>
      <c r="TX218" s="5"/>
      <c r="TY218" s="5"/>
      <c r="TZ218" s="5"/>
      <c r="UA218" s="5"/>
      <c r="UB218" s="5"/>
      <c r="UC218" s="5"/>
      <c r="UD218" s="5"/>
      <c r="UE218" s="5"/>
      <c r="UF218" s="5"/>
      <c r="UG218" s="5"/>
      <c r="UH218" s="5"/>
      <c r="UI218" s="5"/>
      <c r="UJ218" s="5"/>
      <c r="UK218" s="5"/>
      <c r="UL218" s="5"/>
      <c r="UM218" s="5"/>
      <c r="UN218" s="5"/>
      <c r="UO218" s="5"/>
      <c r="UP218" s="5"/>
      <c r="UQ218" s="5"/>
      <c r="UR218" s="5"/>
      <c r="US218" s="5"/>
      <c r="UT218" s="5"/>
      <c r="UU218" s="5"/>
      <c r="UV218" s="5"/>
      <c r="UW218" s="5"/>
      <c r="UX218" s="5"/>
      <c r="UY218" s="5"/>
      <c r="UZ218" s="5"/>
      <c r="VA218" s="5"/>
      <c r="VB218" s="5"/>
      <c r="VC218" s="5"/>
      <c r="VD218" s="5"/>
      <c r="VE218" s="5"/>
      <c r="VF218" s="5"/>
      <c r="VG218" s="5"/>
      <c r="VH218" s="5"/>
      <c r="VI218" s="5"/>
      <c r="VJ218" s="5"/>
      <c r="VK218" s="5"/>
      <c r="VL218" s="5"/>
      <c r="VM218" s="5"/>
      <c r="VN218" s="5"/>
      <c r="VO218" s="5"/>
      <c r="VP218" s="5"/>
      <c r="VQ218" s="5"/>
      <c r="VR218" s="5"/>
      <c r="VS218" s="5"/>
      <c r="VT218" s="5"/>
    </row>
    <row r="219" spans="1:592" s="36" customFormat="1" ht="63" x14ac:dyDescent="0.2">
      <c r="A219" s="10" t="s">
        <v>451</v>
      </c>
      <c r="B219" s="11">
        <v>72745339</v>
      </c>
      <c r="C219" s="11" t="s">
        <v>324</v>
      </c>
      <c r="D219" s="11">
        <v>8170444</v>
      </c>
      <c r="E219" s="228" t="s">
        <v>364</v>
      </c>
      <c r="F219" s="192" t="s">
        <v>278</v>
      </c>
      <c r="G219" s="201">
        <f>IFERROR(VLOOKUP(D219,List1!$A$5:$B$227,2,FALSE),"0")</f>
        <v>433000</v>
      </c>
      <c r="H219" s="41" t="str">
        <f>IFERROR(VLOOKUP(D219,List1!$D$5:$E$41,2,FALSE),"0")</f>
        <v>0</v>
      </c>
      <c r="I219" s="41">
        <f>IFERROR(VLOOKUP(D219,List1!$G$5:$H$227,2,FALSE),"0")</f>
        <v>32000</v>
      </c>
      <c r="J219" s="40">
        <f t="shared" si="26"/>
        <v>465000</v>
      </c>
      <c r="K219" s="41" t="str">
        <f>IFERROR(VLOOKUP(D219,List1!$J$5:$K$227,2,FALSE),"0")</f>
        <v>0</v>
      </c>
      <c r="L219" s="41">
        <f>IFERROR(VLOOKUP(D219,List1!$M$5:$N$112,2,FALSE),"0")</f>
        <v>9000</v>
      </c>
      <c r="M219" s="43">
        <v>0</v>
      </c>
      <c r="N219" s="80">
        <f>VLOOKUP($D$5:$D$251,List2!$A$2:$B$241,2,FALSE)</f>
        <v>0</v>
      </c>
      <c r="O219" s="80">
        <f>IFERROR(VLOOKUP($D$5:$D$260,List1!$Y$5:$Z$244,2,FALSE),0)</f>
        <v>465000</v>
      </c>
      <c r="P219" s="202">
        <f>IFERROR(VLOOKUP($D$5:$D$260,List1!$AB$5:$AC$244,2,FALSE),0)</f>
        <v>0</v>
      </c>
      <c r="Q219" s="201">
        <f>IFERROR(VLOOKUP($D$5:$D$260,List1!$S$5:$T$231,2,FALSE),0)</f>
        <v>460846</v>
      </c>
      <c r="R219" s="41">
        <v>0</v>
      </c>
      <c r="S219" s="41">
        <f>IFERROR(VLOOKUP($D$5:$D$260,List1!$AE$5:$AF$231,2,FALSE),0)</f>
        <v>100000</v>
      </c>
      <c r="T219" s="41">
        <f t="shared" si="27"/>
        <v>560846</v>
      </c>
      <c r="U219" s="41" t="str">
        <f>IFERROR(VLOOKUP(D219,List1!$P$5:$Q$110,2,FALSE),"0")</f>
        <v>0</v>
      </c>
      <c r="V219" s="41">
        <v>0</v>
      </c>
      <c r="W219" s="248">
        <v>0</v>
      </c>
      <c r="X219" s="211">
        <f t="shared" si="28"/>
        <v>560846</v>
      </c>
      <c r="Y219" s="219"/>
      <c r="Z219" s="80">
        <f>IFERROR(VLOOKUP($D$5:$D$260,#REF!,3,FALSE),0)</f>
        <v>0</v>
      </c>
      <c r="AA219" s="80">
        <f>IFERROR(VLOOKUP($D$5:$D$260,#REF!,3,FALSE),0)</f>
        <v>0</v>
      </c>
      <c r="AB219" s="243">
        <v>0</v>
      </c>
      <c r="AC219" s="202">
        <f t="shared" si="29"/>
        <v>0</v>
      </c>
      <c r="AD219" s="259">
        <f t="shared" si="30"/>
        <v>0</v>
      </c>
      <c r="AE219" s="260">
        <f t="shared" si="31"/>
        <v>0</v>
      </c>
      <c r="AF219" s="260">
        <f t="shared" si="32"/>
        <v>0</v>
      </c>
      <c r="AG219" s="260">
        <f t="shared" si="33"/>
        <v>0</v>
      </c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  <c r="IX219" s="5"/>
      <c r="IY219" s="5"/>
      <c r="IZ219" s="5"/>
      <c r="JA219" s="5"/>
      <c r="JB219" s="5"/>
      <c r="JC219" s="5"/>
      <c r="JD219" s="5"/>
      <c r="JE219" s="5"/>
      <c r="JF219" s="5"/>
      <c r="JG219" s="5"/>
      <c r="JH219" s="5"/>
      <c r="JI219" s="5"/>
      <c r="JJ219" s="5"/>
      <c r="JK219" s="5"/>
      <c r="JL219" s="5"/>
      <c r="JM219" s="5"/>
      <c r="JN219" s="5"/>
      <c r="JO219" s="5"/>
      <c r="JP219" s="5"/>
      <c r="JQ219" s="5"/>
      <c r="JR219" s="5"/>
      <c r="JS219" s="5"/>
      <c r="JT219" s="5"/>
      <c r="JU219" s="5"/>
      <c r="JV219" s="5"/>
      <c r="JW219" s="5"/>
      <c r="JX219" s="5"/>
      <c r="JY219" s="5"/>
      <c r="JZ219" s="5"/>
      <c r="KA219" s="5"/>
      <c r="KB219" s="5"/>
      <c r="KC219" s="5"/>
      <c r="KD219" s="5"/>
      <c r="KE219" s="5"/>
      <c r="KF219" s="5"/>
      <c r="KG219" s="5"/>
      <c r="KH219" s="5"/>
      <c r="KI219" s="5"/>
      <c r="KJ219" s="5"/>
      <c r="KK219" s="5"/>
      <c r="KL219" s="5"/>
      <c r="KM219" s="5"/>
      <c r="KN219" s="5"/>
      <c r="KO219" s="5"/>
      <c r="KP219" s="5"/>
      <c r="KQ219" s="5"/>
      <c r="KR219" s="5"/>
      <c r="KS219" s="5"/>
      <c r="KT219" s="5"/>
      <c r="KU219" s="5"/>
      <c r="KV219" s="5"/>
      <c r="KW219" s="5"/>
      <c r="KX219" s="5"/>
      <c r="KY219" s="5"/>
      <c r="KZ219" s="5"/>
      <c r="LA219" s="5"/>
      <c r="LB219" s="5"/>
      <c r="LC219" s="5"/>
      <c r="LD219" s="5"/>
      <c r="LE219" s="5"/>
      <c r="LF219" s="5"/>
      <c r="LG219" s="5"/>
      <c r="LH219" s="5"/>
      <c r="LI219" s="5"/>
      <c r="LJ219" s="5"/>
      <c r="LK219" s="5"/>
      <c r="LL219" s="5"/>
      <c r="LM219" s="5"/>
      <c r="LN219" s="5"/>
      <c r="LO219" s="5"/>
      <c r="LP219" s="5"/>
      <c r="LQ219" s="5"/>
      <c r="LR219" s="5"/>
      <c r="LS219" s="5"/>
      <c r="LT219" s="5"/>
      <c r="LU219" s="5"/>
      <c r="LV219" s="5"/>
      <c r="LW219" s="5"/>
      <c r="LX219" s="5"/>
      <c r="LY219" s="5"/>
      <c r="LZ219" s="5"/>
      <c r="MA219" s="5"/>
      <c r="MB219" s="5"/>
      <c r="MC219" s="5"/>
      <c r="MD219" s="5"/>
      <c r="ME219" s="5"/>
      <c r="MF219" s="5"/>
      <c r="MG219" s="5"/>
      <c r="MH219" s="5"/>
      <c r="MI219" s="5"/>
      <c r="MJ219" s="5"/>
      <c r="MK219" s="5"/>
      <c r="ML219" s="5"/>
      <c r="MM219" s="5"/>
      <c r="MN219" s="5"/>
      <c r="MO219" s="5"/>
      <c r="MP219" s="5"/>
      <c r="MQ219" s="5"/>
      <c r="MR219" s="5"/>
      <c r="MS219" s="5"/>
      <c r="MT219" s="5"/>
      <c r="MU219" s="5"/>
      <c r="MV219" s="5"/>
      <c r="MW219" s="5"/>
      <c r="MX219" s="5"/>
      <c r="MY219" s="5"/>
      <c r="MZ219" s="5"/>
      <c r="NA219" s="5"/>
      <c r="NB219" s="5"/>
      <c r="NC219" s="5"/>
      <c r="ND219" s="5"/>
      <c r="NE219" s="5"/>
      <c r="NF219" s="5"/>
      <c r="NG219" s="5"/>
      <c r="NH219" s="5"/>
      <c r="NI219" s="5"/>
      <c r="NJ219" s="5"/>
      <c r="NK219" s="5"/>
      <c r="NL219" s="5"/>
      <c r="NM219" s="5"/>
      <c r="NN219" s="5"/>
      <c r="NO219" s="5"/>
      <c r="NP219" s="5"/>
      <c r="NQ219" s="5"/>
      <c r="NR219" s="5"/>
      <c r="NS219" s="5"/>
      <c r="NT219" s="5"/>
      <c r="NU219" s="5"/>
      <c r="NV219" s="5"/>
      <c r="NW219" s="5"/>
      <c r="NX219" s="5"/>
      <c r="NY219" s="5"/>
      <c r="NZ219" s="5"/>
      <c r="OA219" s="5"/>
      <c r="OB219" s="5"/>
      <c r="OC219" s="5"/>
      <c r="OD219" s="5"/>
      <c r="OE219" s="5"/>
      <c r="OF219" s="5"/>
      <c r="OG219" s="5"/>
      <c r="OH219" s="5"/>
      <c r="OI219" s="5"/>
      <c r="OJ219" s="5"/>
      <c r="OK219" s="5"/>
      <c r="OL219" s="5"/>
      <c r="OM219" s="5"/>
      <c r="ON219" s="5"/>
      <c r="OO219" s="5"/>
      <c r="OP219" s="5"/>
      <c r="OQ219" s="5"/>
      <c r="OR219" s="5"/>
      <c r="OS219" s="5"/>
      <c r="OT219" s="5"/>
      <c r="OU219" s="5"/>
      <c r="OV219" s="5"/>
      <c r="OW219" s="5"/>
      <c r="OX219" s="5"/>
      <c r="OY219" s="5"/>
      <c r="OZ219" s="5"/>
      <c r="PA219" s="5"/>
      <c r="PB219" s="5"/>
      <c r="PC219" s="5"/>
      <c r="PD219" s="5"/>
      <c r="PE219" s="5"/>
      <c r="PF219" s="5"/>
      <c r="PG219" s="5"/>
      <c r="PH219" s="5"/>
      <c r="PI219" s="5"/>
      <c r="PJ219" s="5"/>
      <c r="PK219" s="5"/>
      <c r="PL219" s="5"/>
      <c r="PM219" s="5"/>
      <c r="PN219" s="5"/>
      <c r="PO219" s="5"/>
      <c r="PP219" s="5"/>
      <c r="PQ219" s="5"/>
      <c r="PR219" s="5"/>
      <c r="PS219" s="5"/>
      <c r="PT219" s="5"/>
      <c r="PU219" s="5"/>
      <c r="PV219" s="5"/>
      <c r="PW219" s="5"/>
      <c r="PX219" s="5"/>
      <c r="PY219" s="5"/>
      <c r="PZ219" s="5"/>
      <c r="QA219" s="5"/>
      <c r="QB219" s="5"/>
      <c r="QC219" s="5"/>
      <c r="QD219" s="5"/>
      <c r="QE219" s="5"/>
      <c r="QF219" s="5"/>
      <c r="QG219" s="5"/>
      <c r="QH219" s="5"/>
      <c r="QI219" s="5"/>
      <c r="QJ219" s="5"/>
      <c r="QK219" s="5"/>
      <c r="QL219" s="5"/>
      <c r="QM219" s="5"/>
      <c r="QN219" s="5"/>
      <c r="QO219" s="5"/>
      <c r="QP219" s="5"/>
      <c r="QQ219" s="5"/>
      <c r="QR219" s="5"/>
      <c r="QS219" s="5"/>
      <c r="QT219" s="5"/>
      <c r="QU219" s="5"/>
      <c r="QV219" s="5"/>
      <c r="QW219" s="5"/>
      <c r="QX219" s="5"/>
      <c r="QY219" s="5"/>
      <c r="QZ219" s="5"/>
      <c r="RA219" s="5"/>
      <c r="RB219" s="5"/>
      <c r="RC219" s="5"/>
      <c r="RD219" s="5"/>
      <c r="RE219" s="5"/>
      <c r="RF219" s="5"/>
      <c r="RG219" s="5"/>
      <c r="RH219" s="5"/>
      <c r="RI219" s="5"/>
      <c r="RJ219" s="5"/>
      <c r="RK219" s="5"/>
      <c r="RL219" s="5"/>
      <c r="RM219" s="5"/>
      <c r="RN219" s="5"/>
      <c r="RO219" s="5"/>
      <c r="RP219" s="5"/>
      <c r="RQ219" s="5"/>
      <c r="RR219" s="5"/>
      <c r="RS219" s="5"/>
      <c r="RT219" s="5"/>
      <c r="RU219" s="5"/>
      <c r="RV219" s="5"/>
      <c r="RW219" s="5"/>
      <c r="RX219" s="5"/>
      <c r="RY219" s="5"/>
      <c r="RZ219" s="5"/>
      <c r="SA219" s="5"/>
      <c r="SB219" s="5"/>
      <c r="SC219" s="5"/>
      <c r="SD219" s="5"/>
      <c r="SE219" s="5"/>
      <c r="SF219" s="5"/>
      <c r="SG219" s="5"/>
      <c r="SH219" s="5"/>
      <c r="SI219" s="5"/>
      <c r="SJ219" s="5"/>
      <c r="SK219" s="5"/>
      <c r="SL219" s="5"/>
      <c r="SM219" s="5"/>
      <c r="SN219" s="5"/>
      <c r="SO219" s="5"/>
      <c r="SP219" s="5"/>
      <c r="SQ219" s="5"/>
      <c r="SR219" s="5"/>
      <c r="SS219" s="5"/>
      <c r="ST219" s="5"/>
      <c r="SU219" s="5"/>
      <c r="SV219" s="5"/>
      <c r="SW219" s="5"/>
      <c r="SX219" s="5"/>
      <c r="SY219" s="5"/>
      <c r="SZ219" s="5"/>
      <c r="TA219" s="5"/>
      <c r="TB219" s="5"/>
      <c r="TC219" s="5"/>
      <c r="TD219" s="5"/>
      <c r="TE219" s="5"/>
      <c r="TF219" s="5"/>
      <c r="TG219" s="5"/>
      <c r="TH219" s="5"/>
      <c r="TI219" s="5"/>
      <c r="TJ219" s="5"/>
      <c r="TK219" s="5"/>
      <c r="TL219" s="5"/>
      <c r="TM219" s="5"/>
      <c r="TN219" s="5"/>
      <c r="TO219" s="5"/>
      <c r="TP219" s="5"/>
      <c r="TQ219" s="5"/>
      <c r="TR219" s="5"/>
      <c r="TS219" s="5"/>
      <c r="TT219" s="5"/>
      <c r="TU219" s="5"/>
      <c r="TV219" s="5"/>
      <c r="TW219" s="5"/>
      <c r="TX219" s="5"/>
      <c r="TY219" s="5"/>
      <c r="TZ219" s="5"/>
      <c r="UA219" s="5"/>
      <c r="UB219" s="5"/>
      <c r="UC219" s="5"/>
      <c r="UD219" s="5"/>
      <c r="UE219" s="5"/>
      <c r="UF219" s="5"/>
      <c r="UG219" s="5"/>
      <c r="UH219" s="5"/>
      <c r="UI219" s="5"/>
      <c r="UJ219" s="5"/>
      <c r="UK219" s="5"/>
      <c r="UL219" s="5"/>
      <c r="UM219" s="5"/>
      <c r="UN219" s="5"/>
      <c r="UO219" s="5"/>
      <c r="UP219" s="5"/>
      <c r="UQ219" s="5"/>
      <c r="UR219" s="5"/>
      <c r="US219" s="5"/>
      <c r="UT219" s="5"/>
      <c r="UU219" s="5"/>
      <c r="UV219" s="5"/>
      <c r="UW219" s="5"/>
      <c r="UX219" s="5"/>
      <c r="UY219" s="5"/>
      <c r="UZ219" s="5"/>
      <c r="VA219" s="5"/>
      <c r="VB219" s="5"/>
      <c r="VC219" s="5"/>
      <c r="VD219" s="5"/>
      <c r="VE219" s="5"/>
      <c r="VF219" s="5"/>
      <c r="VG219" s="5"/>
      <c r="VH219" s="5"/>
      <c r="VI219" s="5"/>
      <c r="VJ219" s="5"/>
      <c r="VK219" s="5"/>
      <c r="VL219" s="5"/>
      <c r="VM219" s="5"/>
      <c r="VN219" s="5"/>
      <c r="VO219" s="5"/>
      <c r="VP219" s="5"/>
      <c r="VQ219" s="5"/>
      <c r="VR219" s="5"/>
      <c r="VS219" s="5"/>
      <c r="VT219" s="5"/>
    </row>
    <row r="220" spans="1:592" s="36" customFormat="1" ht="63" x14ac:dyDescent="0.2">
      <c r="A220" s="10" t="s">
        <v>452</v>
      </c>
      <c r="B220" s="11">
        <v>48282910</v>
      </c>
      <c r="C220" s="11" t="s">
        <v>324</v>
      </c>
      <c r="D220" s="11">
        <v>4493554</v>
      </c>
      <c r="E220" s="225" t="s">
        <v>325</v>
      </c>
      <c r="F220" s="192" t="s">
        <v>294</v>
      </c>
      <c r="G220" s="201">
        <f>IFERROR(VLOOKUP(D220,List1!$A$5:$B$227,2,FALSE),"0")</f>
        <v>1058000</v>
      </c>
      <c r="H220" s="41" t="str">
        <f>IFERROR(VLOOKUP(D220,List1!$D$5:$E$41,2,FALSE),"0")</f>
        <v>0</v>
      </c>
      <c r="I220" s="41">
        <f>IFERROR(VLOOKUP(D220,List1!$G$5:$H$227,2,FALSE),"0")</f>
        <v>55453</v>
      </c>
      <c r="J220" s="40">
        <f t="shared" si="26"/>
        <v>1113453</v>
      </c>
      <c r="K220" s="41" t="str">
        <f>IFERROR(VLOOKUP(D220,List1!$J$5:$K$227,2,FALSE),"0")</f>
        <v>0</v>
      </c>
      <c r="L220" s="41">
        <f>IFERROR(VLOOKUP(D220,List1!$M$5:$N$112,2,FALSE),"0")</f>
        <v>33000</v>
      </c>
      <c r="M220" s="43">
        <v>0</v>
      </c>
      <c r="N220" s="80">
        <f>VLOOKUP($D$5:$D$251,List2!$A$2:$B$241,2,FALSE)</f>
        <v>0</v>
      </c>
      <c r="O220" s="80">
        <f>IFERROR(VLOOKUP($D$5:$D$260,List1!$Y$5:$Z$244,2,FALSE),0)</f>
        <v>0</v>
      </c>
      <c r="P220" s="202">
        <f>IFERROR(VLOOKUP($D$5:$D$260,List1!$AB$5:$AC$244,2,FALSE),0)</f>
        <v>0</v>
      </c>
      <c r="Q220" s="201">
        <f>IFERROR(VLOOKUP($D$5:$D$260,List1!$S$5:$T$231,2,FALSE),0)</f>
        <v>1033370</v>
      </c>
      <c r="R220" s="41">
        <v>0</v>
      </c>
      <c r="S220" s="41">
        <f>IFERROR(VLOOKUP($D$5:$D$260,List1!$AE$5:$AF$231,2,FALSE),0)</f>
        <v>200000</v>
      </c>
      <c r="T220" s="41">
        <f t="shared" si="27"/>
        <v>1233370</v>
      </c>
      <c r="U220" s="41" t="str">
        <f>IFERROR(VLOOKUP(D220,List1!$P$5:$Q$110,2,FALSE),"0")</f>
        <v>0</v>
      </c>
      <c r="V220" s="41">
        <v>0</v>
      </c>
      <c r="W220" s="248">
        <v>0</v>
      </c>
      <c r="X220" s="211">
        <f t="shared" si="28"/>
        <v>1233370</v>
      </c>
      <c r="Y220" s="219"/>
      <c r="Z220" s="80">
        <f>IFERROR(VLOOKUP($D$5:$D$260,#REF!,3,FALSE),0)</f>
        <v>0</v>
      </c>
      <c r="AA220" s="80">
        <f>IFERROR(VLOOKUP($D$5:$D$260,#REF!,3,FALSE),0)</f>
        <v>0</v>
      </c>
      <c r="AB220" s="243">
        <v>0</v>
      </c>
      <c r="AC220" s="202">
        <f t="shared" si="29"/>
        <v>0</v>
      </c>
      <c r="AD220" s="259">
        <f t="shared" si="30"/>
        <v>0</v>
      </c>
      <c r="AE220" s="260">
        <f t="shared" si="31"/>
        <v>0</v>
      </c>
      <c r="AF220" s="260">
        <f t="shared" si="32"/>
        <v>0</v>
      </c>
      <c r="AG220" s="260">
        <f t="shared" si="33"/>
        <v>0</v>
      </c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  <c r="IX220" s="5"/>
      <c r="IY220" s="5"/>
      <c r="IZ220" s="5"/>
      <c r="JA220" s="5"/>
      <c r="JB220" s="5"/>
      <c r="JC220" s="5"/>
      <c r="JD220" s="5"/>
      <c r="JE220" s="5"/>
      <c r="JF220" s="5"/>
      <c r="JG220" s="5"/>
      <c r="JH220" s="5"/>
      <c r="JI220" s="5"/>
      <c r="JJ220" s="5"/>
      <c r="JK220" s="5"/>
      <c r="JL220" s="5"/>
      <c r="JM220" s="5"/>
      <c r="JN220" s="5"/>
      <c r="JO220" s="5"/>
      <c r="JP220" s="5"/>
      <c r="JQ220" s="5"/>
      <c r="JR220" s="5"/>
      <c r="JS220" s="5"/>
      <c r="JT220" s="5"/>
      <c r="JU220" s="5"/>
      <c r="JV220" s="5"/>
      <c r="JW220" s="5"/>
      <c r="JX220" s="5"/>
      <c r="JY220" s="5"/>
      <c r="JZ220" s="5"/>
      <c r="KA220" s="5"/>
      <c r="KB220" s="5"/>
      <c r="KC220" s="5"/>
      <c r="KD220" s="5"/>
      <c r="KE220" s="5"/>
      <c r="KF220" s="5"/>
      <c r="KG220" s="5"/>
      <c r="KH220" s="5"/>
      <c r="KI220" s="5"/>
      <c r="KJ220" s="5"/>
      <c r="KK220" s="5"/>
      <c r="KL220" s="5"/>
      <c r="KM220" s="5"/>
      <c r="KN220" s="5"/>
      <c r="KO220" s="5"/>
      <c r="KP220" s="5"/>
      <c r="KQ220" s="5"/>
      <c r="KR220" s="5"/>
      <c r="KS220" s="5"/>
      <c r="KT220" s="5"/>
      <c r="KU220" s="5"/>
      <c r="KV220" s="5"/>
      <c r="KW220" s="5"/>
      <c r="KX220" s="5"/>
      <c r="KY220" s="5"/>
      <c r="KZ220" s="5"/>
      <c r="LA220" s="5"/>
      <c r="LB220" s="5"/>
      <c r="LC220" s="5"/>
      <c r="LD220" s="5"/>
      <c r="LE220" s="5"/>
      <c r="LF220" s="5"/>
      <c r="LG220" s="5"/>
      <c r="LH220" s="5"/>
      <c r="LI220" s="5"/>
      <c r="LJ220" s="5"/>
      <c r="LK220" s="5"/>
      <c r="LL220" s="5"/>
      <c r="LM220" s="5"/>
      <c r="LN220" s="5"/>
      <c r="LO220" s="5"/>
      <c r="LP220" s="5"/>
      <c r="LQ220" s="5"/>
      <c r="LR220" s="5"/>
      <c r="LS220" s="5"/>
      <c r="LT220" s="5"/>
      <c r="LU220" s="5"/>
      <c r="LV220" s="5"/>
      <c r="LW220" s="5"/>
      <c r="LX220" s="5"/>
      <c r="LY220" s="5"/>
      <c r="LZ220" s="5"/>
      <c r="MA220" s="5"/>
      <c r="MB220" s="5"/>
      <c r="MC220" s="5"/>
      <c r="MD220" s="5"/>
      <c r="ME220" s="5"/>
      <c r="MF220" s="5"/>
      <c r="MG220" s="5"/>
      <c r="MH220" s="5"/>
      <c r="MI220" s="5"/>
      <c r="MJ220" s="5"/>
      <c r="MK220" s="5"/>
      <c r="ML220" s="5"/>
      <c r="MM220" s="5"/>
      <c r="MN220" s="5"/>
      <c r="MO220" s="5"/>
      <c r="MP220" s="5"/>
      <c r="MQ220" s="5"/>
      <c r="MR220" s="5"/>
      <c r="MS220" s="5"/>
      <c r="MT220" s="5"/>
      <c r="MU220" s="5"/>
      <c r="MV220" s="5"/>
      <c r="MW220" s="5"/>
      <c r="MX220" s="5"/>
      <c r="MY220" s="5"/>
      <c r="MZ220" s="5"/>
      <c r="NA220" s="5"/>
      <c r="NB220" s="5"/>
      <c r="NC220" s="5"/>
      <c r="ND220" s="5"/>
      <c r="NE220" s="5"/>
      <c r="NF220" s="5"/>
      <c r="NG220" s="5"/>
      <c r="NH220" s="5"/>
      <c r="NI220" s="5"/>
      <c r="NJ220" s="5"/>
      <c r="NK220" s="5"/>
      <c r="NL220" s="5"/>
      <c r="NM220" s="5"/>
      <c r="NN220" s="5"/>
      <c r="NO220" s="5"/>
      <c r="NP220" s="5"/>
      <c r="NQ220" s="5"/>
      <c r="NR220" s="5"/>
      <c r="NS220" s="5"/>
      <c r="NT220" s="5"/>
      <c r="NU220" s="5"/>
      <c r="NV220" s="5"/>
      <c r="NW220" s="5"/>
      <c r="NX220" s="5"/>
      <c r="NY220" s="5"/>
      <c r="NZ220" s="5"/>
      <c r="OA220" s="5"/>
      <c r="OB220" s="5"/>
      <c r="OC220" s="5"/>
      <c r="OD220" s="5"/>
      <c r="OE220" s="5"/>
      <c r="OF220" s="5"/>
      <c r="OG220" s="5"/>
      <c r="OH220" s="5"/>
      <c r="OI220" s="5"/>
      <c r="OJ220" s="5"/>
      <c r="OK220" s="5"/>
      <c r="OL220" s="5"/>
      <c r="OM220" s="5"/>
      <c r="ON220" s="5"/>
      <c r="OO220" s="5"/>
      <c r="OP220" s="5"/>
      <c r="OQ220" s="5"/>
      <c r="OR220" s="5"/>
      <c r="OS220" s="5"/>
      <c r="OT220" s="5"/>
      <c r="OU220" s="5"/>
      <c r="OV220" s="5"/>
      <c r="OW220" s="5"/>
      <c r="OX220" s="5"/>
      <c r="OY220" s="5"/>
      <c r="OZ220" s="5"/>
      <c r="PA220" s="5"/>
      <c r="PB220" s="5"/>
      <c r="PC220" s="5"/>
      <c r="PD220" s="5"/>
      <c r="PE220" s="5"/>
      <c r="PF220" s="5"/>
      <c r="PG220" s="5"/>
      <c r="PH220" s="5"/>
      <c r="PI220" s="5"/>
      <c r="PJ220" s="5"/>
      <c r="PK220" s="5"/>
      <c r="PL220" s="5"/>
      <c r="PM220" s="5"/>
      <c r="PN220" s="5"/>
      <c r="PO220" s="5"/>
      <c r="PP220" s="5"/>
      <c r="PQ220" s="5"/>
      <c r="PR220" s="5"/>
      <c r="PS220" s="5"/>
      <c r="PT220" s="5"/>
      <c r="PU220" s="5"/>
      <c r="PV220" s="5"/>
      <c r="PW220" s="5"/>
      <c r="PX220" s="5"/>
      <c r="PY220" s="5"/>
      <c r="PZ220" s="5"/>
      <c r="QA220" s="5"/>
      <c r="QB220" s="5"/>
      <c r="QC220" s="5"/>
      <c r="QD220" s="5"/>
      <c r="QE220" s="5"/>
      <c r="QF220" s="5"/>
      <c r="QG220" s="5"/>
      <c r="QH220" s="5"/>
      <c r="QI220" s="5"/>
      <c r="QJ220" s="5"/>
      <c r="QK220" s="5"/>
      <c r="QL220" s="5"/>
      <c r="QM220" s="5"/>
      <c r="QN220" s="5"/>
      <c r="QO220" s="5"/>
      <c r="QP220" s="5"/>
      <c r="QQ220" s="5"/>
      <c r="QR220" s="5"/>
      <c r="QS220" s="5"/>
      <c r="QT220" s="5"/>
      <c r="QU220" s="5"/>
      <c r="QV220" s="5"/>
      <c r="QW220" s="5"/>
      <c r="QX220" s="5"/>
      <c r="QY220" s="5"/>
      <c r="QZ220" s="5"/>
      <c r="RA220" s="5"/>
      <c r="RB220" s="5"/>
      <c r="RC220" s="5"/>
      <c r="RD220" s="5"/>
      <c r="RE220" s="5"/>
      <c r="RF220" s="5"/>
      <c r="RG220" s="5"/>
      <c r="RH220" s="5"/>
      <c r="RI220" s="5"/>
      <c r="RJ220" s="5"/>
      <c r="RK220" s="5"/>
      <c r="RL220" s="5"/>
      <c r="RM220" s="5"/>
      <c r="RN220" s="5"/>
      <c r="RO220" s="5"/>
      <c r="RP220" s="5"/>
      <c r="RQ220" s="5"/>
      <c r="RR220" s="5"/>
      <c r="RS220" s="5"/>
      <c r="RT220" s="5"/>
      <c r="RU220" s="5"/>
      <c r="RV220" s="5"/>
      <c r="RW220" s="5"/>
      <c r="RX220" s="5"/>
      <c r="RY220" s="5"/>
      <c r="RZ220" s="5"/>
      <c r="SA220" s="5"/>
      <c r="SB220" s="5"/>
      <c r="SC220" s="5"/>
      <c r="SD220" s="5"/>
      <c r="SE220" s="5"/>
      <c r="SF220" s="5"/>
      <c r="SG220" s="5"/>
      <c r="SH220" s="5"/>
      <c r="SI220" s="5"/>
      <c r="SJ220" s="5"/>
      <c r="SK220" s="5"/>
      <c r="SL220" s="5"/>
      <c r="SM220" s="5"/>
      <c r="SN220" s="5"/>
      <c r="SO220" s="5"/>
      <c r="SP220" s="5"/>
      <c r="SQ220" s="5"/>
      <c r="SR220" s="5"/>
      <c r="SS220" s="5"/>
      <c r="ST220" s="5"/>
      <c r="SU220" s="5"/>
      <c r="SV220" s="5"/>
      <c r="SW220" s="5"/>
      <c r="SX220" s="5"/>
      <c r="SY220" s="5"/>
      <c r="SZ220" s="5"/>
      <c r="TA220" s="5"/>
      <c r="TB220" s="5"/>
      <c r="TC220" s="5"/>
      <c r="TD220" s="5"/>
      <c r="TE220" s="5"/>
      <c r="TF220" s="5"/>
      <c r="TG220" s="5"/>
      <c r="TH220" s="5"/>
      <c r="TI220" s="5"/>
      <c r="TJ220" s="5"/>
      <c r="TK220" s="5"/>
      <c r="TL220" s="5"/>
      <c r="TM220" s="5"/>
      <c r="TN220" s="5"/>
      <c r="TO220" s="5"/>
      <c r="TP220" s="5"/>
      <c r="TQ220" s="5"/>
      <c r="TR220" s="5"/>
      <c r="TS220" s="5"/>
      <c r="TT220" s="5"/>
      <c r="TU220" s="5"/>
      <c r="TV220" s="5"/>
      <c r="TW220" s="5"/>
      <c r="TX220" s="5"/>
      <c r="TY220" s="5"/>
      <c r="TZ220" s="5"/>
      <c r="UA220" s="5"/>
      <c r="UB220" s="5"/>
      <c r="UC220" s="5"/>
      <c r="UD220" s="5"/>
      <c r="UE220" s="5"/>
      <c r="UF220" s="5"/>
      <c r="UG220" s="5"/>
      <c r="UH220" s="5"/>
      <c r="UI220" s="5"/>
      <c r="UJ220" s="5"/>
      <c r="UK220" s="5"/>
      <c r="UL220" s="5"/>
      <c r="UM220" s="5"/>
      <c r="UN220" s="5"/>
      <c r="UO220" s="5"/>
      <c r="UP220" s="5"/>
      <c r="UQ220" s="5"/>
      <c r="UR220" s="5"/>
      <c r="US220" s="5"/>
      <c r="UT220" s="5"/>
      <c r="UU220" s="5"/>
      <c r="UV220" s="5"/>
      <c r="UW220" s="5"/>
      <c r="UX220" s="5"/>
      <c r="UY220" s="5"/>
      <c r="UZ220" s="5"/>
      <c r="VA220" s="5"/>
      <c r="VB220" s="5"/>
      <c r="VC220" s="5"/>
      <c r="VD220" s="5"/>
      <c r="VE220" s="5"/>
      <c r="VF220" s="5"/>
      <c r="VG220" s="5"/>
      <c r="VH220" s="5"/>
      <c r="VI220" s="5"/>
      <c r="VJ220" s="5"/>
      <c r="VK220" s="5"/>
      <c r="VL220" s="5"/>
      <c r="VM220" s="5"/>
      <c r="VN220" s="5"/>
      <c r="VO220" s="5"/>
      <c r="VP220" s="5"/>
      <c r="VQ220" s="5"/>
      <c r="VR220" s="5"/>
      <c r="VS220" s="5"/>
      <c r="VT220" s="5"/>
    </row>
    <row r="221" spans="1:592" s="36" customFormat="1" ht="63" x14ac:dyDescent="0.2">
      <c r="A221" s="10" t="s">
        <v>452</v>
      </c>
      <c r="B221" s="11">
        <v>48282910</v>
      </c>
      <c r="C221" s="11" t="s">
        <v>324</v>
      </c>
      <c r="D221" s="11">
        <v>2854766</v>
      </c>
      <c r="E221" s="225" t="s">
        <v>289</v>
      </c>
      <c r="F221" s="192" t="s">
        <v>269</v>
      </c>
      <c r="G221" s="201">
        <f>IFERROR(VLOOKUP(D221,List1!$A$5:$B$227,2,FALSE),"0")</f>
        <v>294000</v>
      </c>
      <c r="H221" s="41" t="str">
        <f>IFERROR(VLOOKUP(D221,List1!$D$5:$E$41,2,FALSE),"0")</f>
        <v>0</v>
      </c>
      <c r="I221" s="41" t="str">
        <f>IFERROR(VLOOKUP(D221,List1!$G$5:$H$227,2,FALSE),"0")</f>
        <v>0</v>
      </c>
      <c r="J221" s="40">
        <f t="shared" si="26"/>
        <v>294000</v>
      </c>
      <c r="K221" s="41" t="str">
        <f>IFERROR(VLOOKUP(D221,List1!$J$5:$K$227,2,FALSE),"0")</f>
        <v>0</v>
      </c>
      <c r="L221" s="41" t="str">
        <f>IFERROR(VLOOKUP(D221,List1!$M$5:$N$112,2,FALSE),"0")</f>
        <v>0</v>
      </c>
      <c r="M221" s="43">
        <v>0</v>
      </c>
      <c r="N221" s="80">
        <f>VLOOKUP($D$5:$D$251,List2!$A$2:$B$241,2,FALSE)</f>
        <v>0</v>
      </c>
      <c r="O221" s="80">
        <f>IFERROR(VLOOKUP($D$5:$D$260,List1!$Y$5:$Z$244,2,FALSE),0)</f>
        <v>0</v>
      </c>
      <c r="P221" s="202">
        <f>IFERROR(VLOOKUP($D$5:$D$260,List1!$AB$5:$AC$244,2,FALSE),0)</f>
        <v>0</v>
      </c>
      <c r="Q221" s="201">
        <f>IFERROR(VLOOKUP($D$5:$D$260,List1!$S$5:$T$231,2,FALSE),0)</f>
        <v>271500</v>
      </c>
      <c r="R221" s="41">
        <v>0</v>
      </c>
      <c r="S221" s="41">
        <f>IFERROR(VLOOKUP($D$5:$D$260,List1!$AE$5:$AF$231,2,FALSE),0)</f>
        <v>50000</v>
      </c>
      <c r="T221" s="41">
        <f t="shared" si="27"/>
        <v>321500</v>
      </c>
      <c r="U221" s="41" t="str">
        <f>IFERROR(VLOOKUP(D221,List1!$P$5:$Q$110,2,FALSE),"0")</f>
        <v>0</v>
      </c>
      <c r="V221" s="41">
        <v>0</v>
      </c>
      <c r="W221" s="248">
        <v>0</v>
      </c>
      <c r="X221" s="211">
        <f t="shared" si="28"/>
        <v>321500</v>
      </c>
      <c r="Y221" s="219"/>
      <c r="Z221" s="80">
        <f>IFERROR(VLOOKUP($D$5:$D$260,#REF!,3,FALSE),0)</f>
        <v>0</v>
      </c>
      <c r="AA221" s="80">
        <f>IFERROR(VLOOKUP($D$5:$D$260,#REF!,3,FALSE),0)</f>
        <v>0</v>
      </c>
      <c r="AB221" s="243">
        <v>0</v>
      </c>
      <c r="AC221" s="202">
        <f t="shared" si="29"/>
        <v>0</v>
      </c>
      <c r="AD221" s="259">
        <f t="shared" si="30"/>
        <v>0</v>
      </c>
      <c r="AE221" s="260">
        <f t="shared" si="31"/>
        <v>0</v>
      </c>
      <c r="AF221" s="260">
        <f t="shared" si="32"/>
        <v>0</v>
      </c>
      <c r="AG221" s="260">
        <f t="shared" si="33"/>
        <v>0</v>
      </c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  <c r="IX221" s="5"/>
      <c r="IY221" s="5"/>
      <c r="IZ221" s="5"/>
      <c r="JA221" s="5"/>
      <c r="JB221" s="5"/>
      <c r="JC221" s="5"/>
      <c r="JD221" s="5"/>
      <c r="JE221" s="5"/>
      <c r="JF221" s="5"/>
      <c r="JG221" s="5"/>
      <c r="JH221" s="5"/>
      <c r="JI221" s="5"/>
      <c r="JJ221" s="5"/>
      <c r="JK221" s="5"/>
      <c r="JL221" s="5"/>
      <c r="JM221" s="5"/>
      <c r="JN221" s="5"/>
      <c r="JO221" s="5"/>
      <c r="JP221" s="5"/>
      <c r="JQ221" s="5"/>
      <c r="JR221" s="5"/>
      <c r="JS221" s="5"/>
      <c r="JT221" s="5"/>
      <c r="JU221" s="5"/>
      <c r="JV221" s="5"/>
      <c r="JW221" s="5"/>
      <c r="JX221" s="5"/>
      <c r="JY221" s="5"/>
      <c r="JZ221" s="5"/>
      <c r="KA221" s="5"/>
      <c r="KB221" s="5"/>
      <c r="KC221" s="5"/>
      <c r="KD221" s="5"/>
      <c r="KE221" s="5"/>
      <c r="KF221" s="5"/>
      <c r="KG221" s="5"/>
      <c r="KH221" s="5"/>
      <c r="KI221" s="5"/>
      <c r="KJ221" s="5"/>
      <c r="KK221" s="5"/>
      <c r="KL221" s="5"/>
      <c r="KM221" s="5"/>
      <c r="KN221" s="5"/>
      <c r="KO221" s="5"/>
      <c r="KP221" s="5"/>
      <c r="KQ221" s="5"/>
      <c r="KR221" s="5"/>
      <c r="KS221" s="5"/>
      <c r="KT221" s="5"/>
      <c r="KU221" s="5"/>
      <c r="KV221" s="5"/>
      <c r="KW221" s="5"/>
      <c r="KX221" s="5"/>
      <c r="KY221" s="5"/>
      <c r="KZ221" s="5"/>
      <c r="LA221" s="5"/>
      <c r="LB221" s="5"/>
      <c r="LC221" s="5"/>
      <c r="LD221" s="5"/>
      <c r="LE221" s="5"/>
      <c r="LF221" s="5"/>
      <c r="LG221" s="5"/>
      <c r="LH221" s="5"/>
      <c r="LI221" s="5"/>
      <c r="LJ221" s="5"/>
      <c r="LK221" s="5"/>
      <c r="LL221" s="5"/>
      <c r="LM221" s="5"/>
      <c r="LN221" s="5"/>
      <c r="LO221" s="5"/>
      <c r="LP221" s="5"/>
      <c r="LQ221" s="5"/>
      <c r="LR221" s="5"/>
      <c r="LS221" s="5"/>
      <c r="LT221" s="5"/>
      <c r="LU221" s="5"/>
      <c r="LV221" s="5"/>
      <c r="LW221" s="5"/>
      <c r="LX221" s="5"/>
      <c r="LY221" s="5"/>
      <c r="LZ221" s="5"/>
      <c r="MA221" s="5"/>
      <c r="MB221" s="5"/>
      <c r="MC221" s="5"/>
      <c r="MD221" s="5"/>
      <c r="ME221" s="5"/>
      <c r="MF221" s="5"/>
      <c r="MG221" s="5"/>
      <c r="MH221" s="5"/>
      <c r="MI221" s="5"/>
      <c r="MJ221" s="5"/>
      <c r="MK221" s="5"/>
      <c r="ML221" s="5"/>
      <c r="MM221" s="5"/>
      <c r="MN221" s="5"/>
      <c r="MO221" s="5"/>
      <c r="MP221" s="5"/>
      <c r="MQ221" s="5"/>
      <c r="MR221" s="5"/>
      <c r="MS221" s="5"/>
      <c r="MT221" s="5"/>
      <c r="MU221" s="5"/>
      <c r="MV221" s="5"/>
      <c r="MW221" s="5"/>
      <c r="MX221" s="5"/>
      <c r="MY221" s="5"/>
      <c r="MZ221" s="5"/>
      <c r="NA221" s="5"/>
      <c r="NB221" s="5"/>
      <c r="NC221" s="5"/>
      <c r="ND221" s="5"/>
      <c r="NE221" s="5"/>
      <c r="NF221" s="5"/>
      <c r="NG221" s="5"/>
      <c r="NH221" s="5"/>
      <c r="NI221" s="5"/>
      <c r="NJ221" s="5"/>
      <c r="NK221" s="5"/>
      <c r="NL221" s="5"/>
      <c r="NM221" s="5"/>
      <c r="NN221" s="5"/>
      <c r="NO221" s="5"/>
      <c r="NP221" s="5"/>
      <c r="NQ221" s="5"/>
      <c r="NR221" s="5"/>
      <c r="NS221" s="5"/>
      <c r="NT221" s="5"/>
      <c r="NU221" s="5"/>
      <c r="NV221" s="5"/>
      <c r="NW221" s="5"/>
      <c r="NX221" s="5"/>
      <c r="NY221" s="5"/>
      <c r="NZ221" s="5"/>
      <c r="OA221" s="5"/>
      <c r="OB221" s="5"/>
      <c r="OC221" s="5"/>
      <c r="OD221" s="5"/>
      <c r="OE221" s="5"/>
      <c r="OF221" s="5"/>
      <c r="OG221" s="5"/>
      <c r="OH221" s="5"/>
      <c r="OI221" s="5"/>
      <c r="OJ221" s="5"/>
      <c r="OK221" s="5"/>
      <c r="OL221" s="5"/>
      <c r="OM221" s="5"/>
      <c r="ON221" s="5"/>
      <c r="OO221" s="5"/>
      <c r="OP221" s="5"/>
      <c r="OQ221" s="5"/>
      <c r="OR221" s="5"/>
      <c r="OS221" s="5"/>
      <c r="OT221" s="5"/>
      <c r="OU221" s="5"/>
      <c r="OV221" s="5"/>
      <c r="OW221" s="5"/>
      <c r="OX221" s="5"/>
      <c r="OY221" s="5"/>
      <c r="OZ221" s="5"/>
      <c r="PA221" s="5"/>
      <c r="PB221" s="5"/>
      <c r="PC221" s="5"/>
      <c r="PD221" s="5"/>
      <c r="PE221" s="5"/>
      <c r="PF221" s="5"/>
      <c r="PG221" s="5"/>
      <c r="PH221" s="5"/>
      <c r="PI221" s="5"/>
      <c r="PJ221" s="5"/>
      <c r="PK221" s="5"/>
      <c r="PL221" s="5"/>
      <c r="PM221" s="5"/>
      <c r="PN221" s="5"/>
      <c r="PO221" s="5"/>
      <c r="PP221" s="5"/>
      <c r="PQ221" s="5"/>
      <c r="PR221" s="5"/>
      <c r="PS221" s="5"/>
      <c r="PT221" s="5"/>
      <c r="PU221" s="5"/>
      <c r="PV221" s="5"/>
      <c r="PW221" s="5"/>
      <c r="PX221" s="5"/>
      <c r="PY221" s="5"/>
      <c r="PZ221" s="5"/>
      <c r="QA221" s="5"/>
      <c r="QB221" s="5"/>
      <c r="QC221" s="5"/>
      <c r="QD221" s="5"/>
      <c r="QE221" s="5"/>
      <c r="QF221" s="5"/>
      <c r="QG221" s="5"/>
      <c r="QH221" s="5"/>
      <c r="QI221" s="5"/>
      <c r="QJ221" s="5"/>
      <c r="QK221" s="5"/>
      <c r="QL221" s="5"/>
      <c r="QM221" s="5"/>
      <c r="QN221" s="5"/>
      <c r="QO221" s="5"/>
      <c r="QP221" s="5"/>
      <c r="QQ221" s="5"/>
      <c r="QR221" s="5"/>
      <c r="QS221" s="5"/>
      <c r="QT221" s="5"/>
      <c r="QU221" s="5"/>
      <c r="QV221" s="5"/>
      <c r="QW221" s="5"/>
      <c r="QX221" s="5"/>
      <c r="QY221" s="5"/>
      <c r="QZ221" s="5"/>
      <c r="RA221" s="5"/>
      <c r="RB221" s="5"/>
      <c r="RC221" s="5"/>
      <c r="RD221" s="5"/>
      <c r="RE221" s="5"/>
      <c r="RF221" s="5"/>
      <c r="RG221" s="5"/>
      <c r="RH221" s="5"/>
      <c r="RI221" s="5"/>
      <c r="RJ221" s="5"/>
      <c r="RK221" s="5"/>
      <c r="RL221" s="5"/>
      <c r="RM221" s="5"/>
      <c r="RN221" s="5"/>
      <c r="RO221" s="5"/>
      <c r="RP221" s="5"/>
      <c r="RQ221" s="5"/>
      <c r="RR221" s="5"/>
      <c r="RS221" s="5"/>
      <c r="RT221" s="5"/>
      <c r="RU221" s="5"/>
      <c r="RV221" s="5"/>
      <c r="RW221" s="5"/>
      <c r="RX221" s="5"/>
      <c r="RY221" s="5"/>
      <c r="RZ221" s="5"/>
      <c r="SA221" s="5"/>
      <c r="SB221" s="5"/>
      <c r="SC221" s="5"/>
      <c r="SD221" s="5"/>
      <c r="SE221" s="5"/>
      <c r="SF221" s="5"/>
      <c r="SG221" s="5"/>
      <c r="SH221" s="5"/>
      <c r="SI221" s="5"/>
      <c r="SJ221" s="5"/>
      <c r="SK221" s="5"/>
      <c r="SL221" s="5"/>
      <c r="SM221" s="5"/>
      <c r="SN221" s="5"/>
      <c r="SO221" s="5"/>
      <c r="SP221" s="5"/>
      <c r="SQ221" s="5"/>
      <c r="SR221" s="5"/>
      <c r="SS221" s="5"/>
      <c r="ST221" s="5"/>
      <c r="SU221" s="5"/>
      <c r="SV221" s="5"/>
      <c r="SW221" s="5"/>
      <c r="SX221" s="5"/>
      <c r="SY221" s="5"/>
      <c r="SZ221" s="5"/>
      <c r="TA221" s="5"/>
      <c r="TB221" s="5"/>
      <c r="TC221" s="5"/>
      <c r="TD221" s="5"/>
      <c r="TE221" s="5"/>
      <c r="TF221" s="5"/>
      <c r="TG221" s="5"/>
      <c r="TH221" s="5"/>
      <c r="TI221" s="5"/>
      <c r="TJ221" s="5"/>
      <c r="TK221" s="5"/>
      <c r="TL221" s="5"/>
      <c r="TM221" s="5"/>
      <c r="TN221" s="5"/>
      <c r="TO221" s="5"/>
      <c r="TP221" s="5"/>
      <c r="TQ221" s="5"/>
      <c r="TR221" s="5"/>
      <c r="TS221" s="5"/>
      <c r="TT221" s="5"/>
      <c r="TU221" s="5"/>
      <c r="TV221" s="5"/>
      <c r="TW221" s="5"/>
      <c r="TX221" s="5"/>
      <c r="TY221" s="5"/>
      <c r="TZ221" s="5"/>
      <c r="UA221" s="5"/>
      <c r="UB221" s="5"/>
      <c r="UC221" s="5"/>
      <c r="UD221" s="5"/>
      <c r="UE221" s="5"/>
      <c r="UF221" s="5"/>
      <c r="UG221" s="5"/>
      <c r="UH221" s="5"/>
      <c r="UI221" s="5"/>
      <c r="UJ221" s="5"/>
      <c r="UK221" s="5"/>
      <c r="UL221" s="5"/>
      <c r="UM221" s="5"/>
      <c r="UN221" s="5"/>
      <c r="UO221" s="5"/>
      <c r="UP221" s="5"/>
      <c r="UQ221" s="5"/>
      <c r="UR221" s="5"/>
      <c r="US221" s="5"/>
      <c r="UT221" s="5"/>
      <c r="UU221" s="5"/>
      <c r="UV221" s="5"/>
      <c r="UW221" s="5"/>
      <c r="UX221" s="5"/>
      <c r="UY221" s="5"/>
      <c r="UZ221" s="5"/>
      <c r="VA221" s="5"/>
      <c r="VB221" s="5"/>
      <c r="VC221" s="5"/>
      <c r="VD221" s="5"/>
      <c r="VE221" s="5"/>
      <c r="VF221" s="5"/>
      <c r="VG221" s="5"/>
      <c r="VH221" s="5"/>
      <c r="VI221" s="5"/>
      <c r="VJ221" s="5"/>
      <c r="VK221" s="5"/>
      <c r="VL221" s="5"/>
      <c r="VM221" s="5"/>
      <c r="VN221" s="5"/>
      <c r="VO221" s="5"/>
      <c r="VP221" s="5"/>
      <c r="VQ221" s="5"/>
      <c r="VR221" s="5"/>
      <c r="VS221" s="5"/>
      <c r="VT221" s="5"/>
    </row>
    <row r="222" spans="1:592" s="32" customFormat="1" ht="63" x14ac:dyDescent="0.2">
      <c r="A222" s="10" t="s">
        <v>452</v>
      </c>
      <c r="B222" s="11">
        <v>48282910</v>
      </c>
      <c r="C222" s="11" t="s">
        <v>324</v>
      </c>
      <c r="D222" s="11">
        <v>8609487</v>
      </c>
      <c r="E222" s="225" t="s">
        <v>285</v>
      </c>
      <c r="F222" s="192" t="s">
        <v>278</v>
      </c>
      <c r="G222" s="201">
        <f>IFERROR(VLOOKUP(D222,List1!$A$5:$B$227,2,FALSE),"0")</f>
        <v>7603000</v>
      </c>
      <c r="H222" s="41" t="str">
        <f>IFERROR(VLOOKUP(D222,List1!$D$5:$E$41,2,FALSE),"0")</f>
        <v>0</v>
      </c>
      <c r="I222" s="41">
        <f>IFERROR(VLOOKUP(D222,List1!$G$5:$H$227,2,FALSE),"0")</f>
        <v>671901</v>
      </c>
      <c r="J222" s="40">
        <f t="shared" si="26"/>
        <v>8274901</v>
      </c>
      <c r="K222" s="41" t="str">
        <f>IFERROR(VLOOKUP(D222,List1!$J$5:$K$227,2,FALSE),"0")</f>
        <v>0</v>
      </c>
      <c r="L222" s="41">
        <f>IFERROR(VLOOKUP(D222,List1!$M$5:$N$112,2,FALSE),"0")</f>
        <v>221000</v>
      </c>
      <c r="M222" s="43">
        <v>0</v>
      </c>
      <c r="N222" s="80">
        <f>VLOOKUP($D$5:$D$251,List2!$A$2:$B$241,2,FALSE)</f>
        <v>0</v>
      </c>
      <c r="O222" s="80">
        <f>IFERROR(VLOOKUP($D$5:$D$260,List1!$Y$5:$Z$244,2,FALSE),0)</f>
        <v>0</v>
      </c>
      <c r="P222" s="202">
        <f>IFERROR(VLOOKUP($D$5:$D$260,List1!$AB$5:$AC$244,2,FALSE),0)</f>
        <v>0</v>
      </c>
      <c r="Q222" s="201">
        <f>IFERROR(VLOOKUP($D$5:$D$260,List1!$S$5:$T$231,2,FALSE),0)</f>
        <v>6987250</v>
      </c>
      <c r="R222" s="41">
        <v>0</v>
      </c>
      <c r="S222" s="41">
        <f>IFERROR(VLOOKUP($D$5:$D$260,List1!$AE$5:$AF$231,2,FALSE),0)</f>
        <v>484611</v>
      </c>
      <c r="T222" s="41">
        <f t="shared" si="27"/>
        <v>7471861</v>
      </c>
      <c r="U222" s="41" t="str">
        <f>IFERROR(VLOOKUP(D222,List1!$P$5:$Q$110,2,FALSE),"0")</f>
        <v>0</v>
      </c>
      <c r="V222" s="41">
        <v>0</v>
      </c>
      <c r="W222" s="248">
        <v>0</v>
      </c>
      <c r="X222" s="211">
        <f t="shared" si="28"/>
        <v>7471861</v>
      </c>
      <c r="Y222" s="219"/>
      <c r="Z222" s="80">
        <f>IFERROR(VLOOKUP($D$5:$D$260,#REF!,3,FALSE),0)</f>
        <v>0</v>
      </c>
      <c r="AA222" s="80">
        <f>IFERROR(VLOOKUP($D$5:$D$260,#REF!,3,FALSE),0)</f>
        <v>0</v>
      </c>
      <c r="AB222" s="243">
        <v>0</v>
      </c>
      <c r="AC222" s="202">
        <f t="shared" si="29"/>
        <v>0</v>
      </c>
      <c r="AD222" s="259">
        <f t="shared" si="30"/>
        <v>0</v>
      </c>
      <c r="AE222" s="260">
        <f t="shared" si="31"/>
        <v>0</v>
      </c>
      <c r="AF222" s="260">
        <f t="shared" si="32"/>
        <v>0</v>
      </c>
      <c r="AG222" s="260">
        <f t="shared" si="33"/>
        <v>0</v>
      </c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31"/>
      <c r="CC222" s="31"/>
      <c r="CD222" s="31"/>
      <c r="CE222" s="31"/>
      <c r="CF222" s="31"/>
      <c r="CG222" s="31"/>
      <c r="CH222" s="31"/>
      <c r="CI222" s="31"/>
      <c r="CJ222" s="31"/>
      <c r="CK222" s="31"/>
      <c r="CL222" s="31"/>
      <c r="CM222" s="31"/>
      <c r="CN222" s="31"/>
      <c r="CO222" s="31"/>
      <c r="CP222" s="31"/>
      <c r="CQ222" s="31"/>
      <c r="CR222" s="31"/>
      <c r="CS222" s="31"/>
      <c r="CT222" s="31"/>
      <c r="CU222" s="31"/>
      <c r="CV222" s="31"/>
      <c r="CW222" s="31"/>
      <c r="CX222" s="31"/>
      <c r="CY222" s="31"/>
      <c r="CZ222" s="31"/>
      <c r="DA222" s="31"/>
      <c r="DB222" s="31"/>
      <c r="DC222" s="31"/>
      <c r="DD222" s="31"/>
      <c r="DE222" s="31"/>
      <c r="DF222" s="31"/>
      <c r="DG222" s="31"/>
      <c r="DH222" s="31"/>
      <c r="DI222" s="31"/>
      <c r="DJ222" s="31"/>
      <c r="DK222" s="31"/>
      <c r="DL222" s="31"/>
      <c r="DM222" s="31"/>
      <c r="DN222" s="31"/>
      <c r="DO222" s="31"/>
      <c r="DP222" s="31"/>
      <c r="DQ222" s="31"/>
      <c r="DR222" s="31"/>
      <c r="DS222" s="31"/>
      <c r="DT222" s="31"/>
      <c r="DU222" s="31"/>
      <c r="DV222" s="31"/>
      <c r="DW222" s="31"/>
      <c r="DX222" s="31"/>
      <c r="DY222" s="31"/>
      <c r="DZ222" s="31"/>
      <c r="EA222" s="31"/>
      <c r="EB222" s="31"/>
      <c r="EC222" s="31"/>
      <c r="ED222" s="31"/>
      <c r="EE222" s="31"/>
      <c r="EF222" s="31"/>
      <c r="EG222" s="31"/>
      <c r="EH222" s="31"/>
      <c r="EI222" s="31"/>
      <c r="EJ222" s="31"/>
      <c r="EK222" s="31"/>
      <c r="EL222" s="31"/>
      <c r="EM222" s="31"/>
      <c r="EN222" s="31"/>
      <c r="EO222" s="31"/>
      <c r="EP222" s="31"/>
      <c r="EQ222" s="31"/>
      <c r="ER222" s="31"/>
      <c r="ES222" s="31"/>
      <c r="ET222" s="31"/>
      <c r="EU222" s="31"/>
      <c r="EV222" s="31"/>
      <c r="EW222" s="31"/>
      <c r="EX222" s="31"/>
      <c r="EY222" s="31"/>
      <c r="EZ222" s="31"/>
      <c r="FA222" s="31"/>
      <c r="FB222" s="31"/>
      <c r="FC222" s="31"/>
      <c r="FD222" s="31"/>
      <c r="FE222" s="31"/>
      <c r="FF222" s="31"/>
      <c r="FG222" s="31"/>
      <c r="FH222" s="31"/>
      <c r="FI222" s="31"/>
      <c r="FJ222" s="31"/>
      <c r="FK222" s="31"/>
      <c r="FL222" s="31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  <c r="HI222" s="31"/>
      <c r="HJ222" s="31"/>
      <c r="HK222" s="31"/>
      <c r="HL222" s="31"/>
      <c r="HM222" s="31"/>
      <c r="HN222" s="31"/>
      <c r="HO222" s="31"/>
      <c r="HP222" s="31"/>
      <c r="HQ222" s="31"/>
      <c r="HR222" s="31"/>
      <c r="HS222" s="31"/>
      <c r="HT222" s="31"/>
      <c r="HU222" s="31"/>
      <c r="HV222" s="31"/>
      <c r="HW222" s="31"/>
      <c r="HX222" s="31"/>
      <c r="HY222" s="31"/>
      <c r="HZ222" s="31"/>
      <c r="IA222" s="31"/>
      <c r="IB222" s="31"/>
      <c r="IC222" s="31"/>
      <c r="ID222" s="31"/>
      <c r="IE222" s="31"/>
      <c r="IF222" s="31"/>
      <c r="IG222" s="31"/>
      <c r="IH222" s="31"/>
      <c r="II222" s="31"/>
      <c r="IJ222" s="31"/>
      <c r="IK222" s="31"/>
      <c r="IL222" s="31"/>
      <c r="IM222" s="31"/>
      <c r="IN222" s="31"/>
      <c r="IO222" s="31"/>
      <c r="IP222" s="31"/>
      <c r="IQ222" s="31"/>
      <c r="IR222" s="31"/>
      <c r="IS222" s="31"/>
      <c r="IT222" s="31"/>
      <c r="IU222" s="31"/>
      <c r="IV222" s="31"/>
      <c r="IW222" s="31"/>
      <c r="IX222" s="31"/>
      <c r="IY222" s="31"/>
      <c r="IZ222" s="31"/>
      <c r="JA222" s="31"/>
      <c r="JB222" s="31"/>
      <c r="JC222" s="31"/>
      <c r="JD222" s="31"/>
      <c r="JE222" s="31"/>
      <c r="JF222" s="31"/>
      <c r="JG222" s="31"/>
      <c r="JH222" s="31"/>
      <c r="JI222" s="31"/>
      <c r="JJ222" s="31"/>
      <c r="JK222" s="31"/>
      <c r="JL222" s="31"/>
      <c r="JM222" s="31"/>
      <c r="JN222" s="31"/>
      <c r="JO222" s="31"/>
      <c r="JP222" s="31"/>
      <c r="JQ222" s="31"/>
      <c r="JR222" s="31"/>
      <c r="JS222" s="31"/>
      <c r="JT222" s="31"/>
      <c r="JU222" s="31"/>
      <c r="JV222" s="31"/>
      <c r="JW222" s="31"/>
      <c r="JX222" s="31"/>
      <c r="JY222" s="31"/>
      <c r="JZ222" s="31"/>
      <c r="KA222" s="31"/>
      <c r="KB222" s="31"/>
      <c r="KC222" s="31"/>
      <c r="KD222" s="31"/>
      <c r="KE222" s="31"/>
      <c r="KF222" s="31"/>
      <c r="KG222" s="31"/>
      <c r="KH222" s="31"/>
      <c r="KI222" s="31"/>
      <c r="KJ222" s="31"/>
      <c r="KK222" s="31"/>
      <c r="KL222" s="31"/>
      <c r="KM222" s="31"/>
      <c r="KN222" s="31"/>
      <c r="KO222" s="31"/>
      <c r="KP222" s="31"/>
      <c r="KQ222" s="31"/>
      <c r="KR222" s="31"/>
      <c r="KS222" s="31"/>
      <c r="KT222" s="31"/>
      <c r="KU222" s="31"/>
      <c r="KV222" s="31"/>
      <c r="KW222" s="31"/>
      <c r="KX222" s="31"/>
      <c r="KY222" s="31"/>
      <c r="KZ222" s="31"/>
      <c r="LA222" s="31"/>
      <c r="LB222" s="31"/>
      <c r="LC222" s="31"/>
      <c r="LD222" s="31"/>
      <c r="LE222" s="31"/>
      <c r="LF222" s="31"/>
      <c r="LG222" s="31"/>
      <c r="LH222" s="31"/>
      <c r="LI222" s="31"/>
      <c r="LJ222" s="31"/>
      <c r="LK222" s="31"/>
      <c r="LL222" s="31"/>
      <c r="LM222" s="31"/>
      <c r="LN222" s="31"/>
      <c r="LO222" s="31"/>
      <c r="LP222" s="31"/>
      <c r="LQ222" s="31"/>
      <c r="LR222" s="31"/>
      <c r="LS222" s="31"/>
      <c r="LT222" s="31"/>
      <c r="LU222" s="31"/>
      <c r="LV222" s="31"/>
      <c r="LW222" s="31"/>
      <c r="LX222" s="31"/>
      <c r="LY222" s="31"/>
      <c r="LZ222" s="31"/>
      <c r="MA222" s="31"/>
      <c r="MB222" s="31"/>
      <c r="MC222" s="31"/>
      <c r="MD222" s="31"/>
      <c r="ME222" s="31"/>
      <c r="MF222" s="31"/>
      <c r="MG222" s="31"/>
      <c r="MH222" s="31"/>
      <c r="MI222" s="31"/>
      <c r="MJ222" s="31"/>
      <c r="MK222" s="31"/>
      <c r="ML222" s="31"/>
      <c r="MM222" s="31"/>
      <c r="MN222" s="31"/>
      <c r="MO222" s="31"/>
      <c r="MP222" s="31"/>
      <c r="MQ222" s="31"/>
      <c r="MR222" s="31"/>
      <c r="MS222" s="31"/>
      <c r="MT222" s="31"/>
      <c r="MU222" s="31"/>
      <c r="MV222" s="31"/>
      <c r="MW222" s="31"/>
      <c r="MX222" s="31"/>
      <c r="MY222" s="31"/>
      <c r="MZ222" s="31"/>
      <c r="NA222" s="31"/>
      <c r="NB222" s="31"/>
      <c r="NC222" s="31"/>
      <c r="ND222" s="31"/>
      <c r="NE222" s="31"/>
      <c r="NF222" s="31"/>
      <c r="NG222" s="31"/>
      <c r="NH222" s="31"/>
      <c r="NI222" s="31"/>
      <c r="NJ222" s="31"/>
      <c r="NK222" s="31"/>
      <c r="NL222" s="31"/>
      <c r="NM222" s="31"/>
      <c r="NN222" s="31"/>
      <c r="NO222" s="31"/>
      <c r="NP222" s="31"/>
      <c r="NQ222" s="31"/>
      <c r="NR222" s="31"/>
      <c r="NS222" s="31"/>
      <c r="NT222" s="31"/>
      <c r="NU222" s="31"/>
      <c r="NV222" s="31"/>
      <c r="NW222" s="31"/>
      <c r="NX222" s="31"/>
      <c r="NY222" s="31"/>
      <c r="NZ222" s="31"/>
      <c r="OA222" s="31"/>
      <c r="OB222" s="31"/>
      <c r="OC222" s="31"/>
      <c r="OD222" s="31"/>
      <c r="OE222" s="31"/>
      <c r="OF222" s="31"/>
      <c r="OG222" s="31"/>
      <c r="OH222" s="31"/>
      <c r="OI222" s="31"/>
      <c r="OJ222" s="31"/>
      <c r="OK222" s="31"/>
      <c r="OL222" s="31"/>
      <c r="OM222" s="31"/>
      <c r="ON222" s="31"/>
      <c r="OO222" s="31"/>
      <c r="OP222" s="31"/>
      <c r="OQ222" s="31"/>
      <c r="OR222" s="31"/>
      <c r="OS222" s="31"/>
      <c r="OT222" s="31"/>
      <c r="OU222" s="31"/>
      <c r="OV222" s="31"/>
      <c r="OW222" s="31"/>
      <c r="OX222" s="31"/>
      <c r="OY222" s="31"/>
      <c r="OZ222" s="31"/>
      <c r="PA222" s="31"/>
      <c r="PB222" s="31"/>
      <c r="PC222" s="31"/>
      <c r="PD222" s="31"/>
      <c r="PE222" s="31"/>
      <c r="PF222" s="31"/>
      <c r="PG222" s="31"/>
      <c r="PH222" s="31"/>
      <c r="PI222" s="31"/>
      <c r="PJ222" s="31"/>
      <c r="PK222" s="31"/>
      <c r="PL222" s="31"/>
      <c r="PM222" s="31"/>
      <c r="PN222" s="31"/>
      <c r="PO222" s="31"/>
      <c r="PP222" s="31"/>
      <c r="PQ222" s="31"/>
      <c r="PR222" s="31"/>
      <c r="PS222" s="31"/>
      <c r="PT222" s="31"/>
      <c r="PU222" s="31"/>
      <c r="PV222" s="31"/>
      <c r="PW222" s="31"/>
      <c r="PX222" s="31"/>
      <c r="PY222" s="31"/>
      <c r="PZ222" s="31"/>
      <c r="QA222" s="31"/>
      <c r="QB222" s="31"/>
      <c r="QC222" s="31"/>
      <c r="QD222" s="31"/>
      <c r="QE222" s="31"/>
      <c r="QF222" s="31"/>
      <c r="QG222" s="31"/>
      <c r="QH222" s="31"/>
      <c r="QI222" s="31"/>
      <c r="QJ222" s="31"/>
      <c r="QK222" s="31"/>
      <c r="QL222" s="31"/>
      <c r="QM222" s="31"/>
      <c r="QN222" s="31"/>
      <c r="QO222" s="31"/>
      <c r="QP222" s="31"/>
      <c r="QQ222" s="31"/>
      <c r="QR222" s="31"/>
      <c r="QS222" s="31"/>
      <c r="QT222" s="31"/>
      <c r="QU222" s="31"/>
      <c r="QV222" s="31"/>
      <c r="QW222" s="31"/>
      <c r="QX222" s="31"/>
      <c r="QY222" s="31"/>
      <c r="QZ222" s="31"/>
      <c r="RA222" s="31"/>
      <c r="RB222" s="31"/>
      <c r="RC222" s="31"/>
      <c r="RD222" s="31"/>
      <c r="RE222" s="31"/>
      <c r="RF222" s="31"/>
      <c r="RG222" s="31"/>
      <c r="RH222" s="31"/>
      <c r="RI222" s="31"/>
      <c r="RJ222" s="31"/>
      <c r="RK222" s="31"/>
      <c r="RL222" s="31"/>
      <c r="RM222" s="31"/>
      <c r="RN222" s="31"/>
      <c r="RO222" s="31"/>
      <c r="RP222" s="31"/>
      <c r="RQ222" s="31"/>
      <c r="RR222" s="31"/>
      <c r="RS222" s="31"/>
      <c r="RT222" s="31"/>
      <c r="RU222" s="31"/>
      <c r="RV222" s="31"/>
      <c r="RW222" s="31"/>
      <c r="RX222" s="31"/>
      <c r="RY222" s="31"/>
      <c r="RZ222" s="31"/>
      <c r="SA222" s="31"/>
      <c r="SB222" s="31"/>
      <c r="SC222" s="31"/>
      <c r="SD222" s="31"/>
      <c r="SE222" s="31"/>
      <c r="SF222" s="31"/>
      <c r="SG222" s="31"/>
      <c r="SH222" s="31"/>
      <c r="SI222" s="31"/>
      <c r="SJ222" s="31"/>
      <c r="SK222" s="31"/>
      <c r="SL222" s="31"/>
      <c r="SM222" s="31"/>
      <c r="SN222" s="31"/>
      <c r="SO222" s="31"/>
      <c r="SP222" s="31"/>
      <c r="SQ222" s="31"/>
      <c r="SR222" s="31"/>
      <c r="SS222" s="31"/>
      <c r="ST222" s="31"/>
      <c r="SU222" s="31"/>
      <c r="SV222" s="31"/>
      <c r="SW222" s="31"/>
      <c r="SX222" s="31"/>
      <c r="SY222" s="31"/>
      <c r="SZ222" s="31"/>
      <c r="TA222" s="31"/>
      <c r="TB222" s="31"/>
      <c r="TC222" s="31"/>
      <c r="TD222" s="31"/>
      <c r="TE222" s="31"/>
      <c r="TF222" s="31"/>
      <c r="TG222" s="31"/>
      <c r="TH222" s="31"/>
      <c r="TI222" s="31"/>
      <c r="TJ222" s="31"/>
      <c r="TK222" s="31"/>
      <c r="TL222" s="31"/>
      <c r="TM222" s="31"/>
      <c r="TN222" s="31"/>
      <c r="TO222" s="31"/>
      <c r="TP222" s="31"/>
      <c r="TQ222" s="31"/>
      <c r="TR222" s="31"/>
      <c r="TS222" s="31"/>
      <c r="TT222" s="31"/>
      <c r="TU222" s="31"/>
      <c r="TV222" s="31"/>
      <c r="TW222" s="31"/>
      <c r="TX222" s="31"/>
      <c r="TY222" s="31"/>
      <c r="TZ222" s="31"/>
      <c r="UA222" s="31"/>
      <c r="UB222" s="31"/>
      <c r="UC222" s="31"/>
      <c r="UD222" s="31"/>
      <c r="UE222" s="31"/>
      <c r="UF222" s="31"/>
      <c r="UG222" s="31"/>
      <c r="UH222" s="31"/>
      <c r="UI222" s="31"/>
      <c r="UJ222" s="31"/>
      <c r="UK222" s="31"/>
      <c r="UL222" s="31"/>
      <c r="UM222" s="31"/>
      <c r="UN222" s="31"/>
      <c r="UO222" s="31"/>
      <c r="UP222" s="31"/>
      <c r="UQ222" s="31"/>
      <c r="UR222" s="31"/>
      <c r="US222" s="31"/>
      <c r="UT222" s="31"/>
      <c r="UU222" s="31"/>
      <c r="UV222" s="31"/>
      <c r="UW222" s="31"/>
      <c r="UX222" s="31"/>
      <c r="UY222" s="31"/>
      <c r="UZ222" s="31"/>
      <c r="VA222" s="31"/>
      <c r="VB222" s="31"/>
      <c r="VC222" s="31"/>
      <c r="VD222" s="31"/>
      <c r="VE222" s="31"/>
      <c r="VF222" s="31"/>
      <c r="VG222" s="31"/>
      <c r="VH222" s="31"/>
      <c r="VI222" s="31"/>
      <c r="VJ222" s="31"/>
      <c r="VK222" s="31"/>
      <c r="VL222" s="31"/>
      <c r="VM222" s="31"/>
      <c r="VN222" s="31"/>
      <c r="VO222" s="31"/>
      <c r="VP222" s="31"/>
      <c r="VQ222" s="31"/>
      <c r="VR222" s="31"/>
      <c r="VS222" s="31"/>
      <c r="VT222" s="31"/>
    </row>
    <row r="223" spans="1:592" s="36" customFormat="1" ht="63" x14ac:dyDescent="0.2">
      <c r="A223" s="10" t="s">
        <v>453</v>
      </c>
      <c r="B223" s="11">
        <v>48282901</v>
      </c>
      <c r="C223" s="11" t="s">
        <v>324</v>
      </c>
      <c r="D223" s="11">
        <v>6836867</v>
      </c>
      <c r="E223" s="225" t="s">
        <v>325</v>
      </c>
      <c r="F223" s="192" t="s">
        <v>300</v>
      </c>
      <c r="G223" s="201">
        <f>IFERROR(VLOOKUP(D223,List1!$A$5:$B$227,2,FALSE),"0")</f>
        <v>1930000</v>
      </c>
      <c r="H223" s="41" t="str">
        <f>IFERROR(VLOOKUP(D223,List1!$D$5:$E$41,2,FALSE),"0")</f>
        <v>0</v>
      </c>
      <c r="I223" s="41">
        <f>IFERROR(VLOOKUP(D223,List1!$G$5:$H$227,2,FALSE),"0")</f>
        <v>634290</v>
      </c>
      <c r="J223" s="40">
        <f t="shared" si="26"/>
        <v>2564290</v>
      </c>
      <c r="K223" s="41" t="str">
        <f>IFERROR(VLOOKUP(D223,List1!$J$5:$K$227,2,FALSE),"0")</f>
        <v>0</v>
      </c>
      <c r="L223" s="41" t="str">
        <f>IFERROR(VLOOKUP(D223,List1!$M$5:$N$112,2,FALSE),"0")</f>
        <v>0</v>
      </c>
      <c r="M223" s="43">
        <v>0</v>
      </c>
      <c r="N223" s="80">
        <f>VLOOKUP($D$5:$D$251,List2!$A$2:$B$241,2,FALSE)</f>
        <v>0</v>
      </c>
      <c r="O223" s="80">
        <f>IFERROR(VLOOKUP($D$5:$D$260,List1!$Y$5:$Z$244,2,FALSE),0)</f>
        <v>0</v>
      </c>
      <c r="P223" s="202">
        <f>IFERROR(VLOOKUP($D$5:$D$260,List1!$AB$5:$AC$244,2,FALSE),0)</f>
        <v>0</v>
      </c>
      <c r="Q223" s="201">
        <f>IFERROR(VLOOKUP($D$5:$D$260,List1!$S$5:$T$231,2,FALSE),0)</f>
        <v>2419440</v>
      </c>
      <c r="R223" s="41">
        <v>0</v>
      </c>
      <c r="S223" s="41">
        <f>IFERROR(VLOOKUP($D$5:$D$260,List1!$AE$5:$AF$231,2,FALSE),0)</f>
        <v>450000</v>
      </c>
      <c r="T223" s="41">
        <f t="shared" si="27"/>
        <v>2869440</v>
      </c>
      <c r="U223" s="41" t="str">
        <f>IFERROR(VLOOKUP(D223,List1!$P$5:$Q$110,2,FALSE),"0")</f>
        <v>0</v>
      </c>
      <c r="V223" s="41">
        <v>0</v>
      </c>
      <c r="W223" s="248">
        <v>0</v>
      </c>
      <c r="X223" s="211">
        <f t="shared" si="28"/>
        <v>2869440</v>
      </c>
      <c r="Y223" s="219"/>
      <c r="Z223" s="80">
        <f>IFERROR(VLOOKUP($D$5:$D$260,#REF!,3,FALSE),0)</f>
        <v>0</v>
      </c>
      <c r="AA223" s="80">
        <f>IFERROR(VLOOKUP($D$5:$D$260,#REF!,3,FALSE),0)</f>
        <v>0</v>
      </c>
      <c r="AB223" s="243">
        <v>0</v>
      </c>
      <c r="AC223" s="202">
        <f t="shared" si="29"/>
        <v>0</v>
      </c>
      <c r="AD223" s="259">
        <f t="shared" si="30"/>
        <v>0</v>
      </c>
      <c r="AE223" s="260">
        <f t="shared" si="31"/>
        <v>0</v>
      </c>
      <c r="AF223" s="260">
        <f t="shared" si="32"/>
        <v>0</v>
      </c>
      <c r="AG223" s="260">
        <f t="shared" si="33"/>
        <v>0</v>
      </c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  <c r="IX223" s="5"/>
      <c r="IY223" s="5"/>
      <c r="IZ223" s="5"/>
      <c r="JA223" s="5"/>
      <c r="JB223" s="5"/>
      <c r="JC223" s="5"/>
      <c r="JD223" s="5"/>
      <c r="JE223" s="5"/>
      <c r="JF223" s="5"/>
      <c r="JG223" s="5"/>
      <c r="JH223" s="5"/>
      <c r="JI223" s="5"/>
      <c r="JJ223" s="5"/>
      <c r="JK223" s="5"/>
      <c r="JL223" s="5"/>
      <c r="JM223" s="5"/>
      <c r="JN223" s="5"/>
      <c r="JO223" s="5"/>
      <c r="JP223" s="5"/>
      <c r="JQ223" s="5"/>
      <c r="JR223" s="5"/>
      <c r="JS223" s="5"/>
      <c r="JT223" s="5"/>
      <c r="JU223" s="5"/>
      <c r="JV223" s="5"/>
      <c r="JW223" s="5"/>
      <c r="JX223" s="5"/>
      <c r="JY223" s="5"/>
      <c r="JZ223" s="5"/>
      <c r="KA223" s="5"/>
      <c r="KB223" s="5"/>
      <c r="KC223" s="5"/>
      <c r="KD223" s="5"/>
      <c r="KE223" s="5"/>
      <c r="KF223" s="5"/>
      <c r="KG223" s="5"/>
      <c r="KH223" s="5"/>
      <c r="KI223" s="5"/>
      <c r="KJ223" s="5"/>
      <c r="KK223" s="5"/>
      <c r="KL223" s="5"/>
      <c r="KM223" s="5"/>
      <c r="KN223" s="5"/>
      <c r="KO223" s="5"/>
      <c r="KP223" s="5"/>
      <c r="KQ223" s="5"/>
      <c r="KR223" s="5"/>
      <c r="KS223" s="5"/>
      <c r="KT223" s="5"/>
      <c r="KU223" s="5"/>
      <c r="KV223" s="5"/>
      <c r="KW223" s="5"/>
      <c r="KX223" s="5"/>
      <c r="KY223" s="5"/>
      <c r="KZ223" s="5"/>
      <c r="LA223" s="5"/>
      <c r="LB223" s="5"/>
      <c r="LC223" s="5"/>
      <c r="LD223" s="5"/>
      <c r="LE223" s="5"/>
      <c r="LF223" s="5"/>
      <c r="LG223" s="5"/>
      <c r="LH223" s="5"/>
      <c r="LI223" s="5"/>
      <c r="LJ223" s="5"/>
      <c r="LK223" s="5"/>
      <c r="LL223" s="5"/>
      <c r="LM223" s="5"/>
      <c r="LN223" s="5"/>
      <c r="LO223" s="5"/>
      <c r="LP223" s="5"/>
      <c r="LQ223" s="5"/>
      <c r="LR223" s="5"/>
      <c r="LS223" s="5"/>
      <c r="LT223" s="5"/>
      <c r="LU223" s="5"/>
      <c r="LV223" s="5"/>
      <c r="LW223" s="5"/>
      <c r="LX223" s="5"/>
      <c r="LY223" s="5"/>
      <c r="LZ223" s="5"/>
      <c r="MA223" s="5"/>
      <c r="MB223" s="5"/>
      <c r="MC223" s="5"/>
      <c r="MD223" s="5"/>
      <c r="ME223" s="5"/>
      <c r="MF223" s="5"/>
      <c r="MG223" s="5"/>
      <c r="MH223" s="5"/>
      <c r="MI223" s="5"/>
      <c r="MJ223" s="5"/>
      <c r="MK223" s="5"/>
      <c r="ML223" s="5"/>
      <c r="MM223" s="5"/>
      <c r="MN223" s="5"/>
      <c r="MO223" s="5"/>
      <c r="MP223" s="5"/>
      <c r="MQ223" s="5"/>
      <c r="MR223" s="5"/>
      <c r="MS223" s="5"/>
      <c r="MT223" s="5"/>
      <c r="MU223" s="5"/>
      <c r="MV223" s="5"/>
      <c r="MW223" s="5"/>
      <c r="MX223" s="5"/>
      <c r="MY223" s="5"/>
      <c r="MZ223" s="5"/>
      <c r="NA223" s="5"/>
      <c r="NB223" s="5"/>
      <c r="NC223" s="5"/>
      <c r="ND223" s="5"/>
      <c r="NE223" s="5"/>
      <c r="NF223" s="5"/>
      <c r="NG223" s="5"/>
      <c r="NH223" s="5"/>
      <c r="NI223" s="5"/>
      <c r="NJ223" s="5"/>
      <c r="NK223" s="5"/>
      <c r="NL223" s="5"/>
      <c r="NM223" s="5"/>
      <c r="NN223" s="5"/>
      <c r="NO223" s="5"/>
      <c r="NP223" s="5"/>
      <c r="NQ223" s="5"/>
      <c r="NR223" s="5"/>
      <c r="NS223" s="5"/>
      <c r="NT223" s="5"/>
      <c r="NU223" s="5"/>
      <c r="NV223" s="5"/>
      <c r="NW223" s="5"/>
      <c r="NX223" s="5"/>
      <c r="NY223" s="5"/>
      <c r="NZ223" s="5"/>
      <c r="OA223" s="5"/>
      <c r="OB223" s="5"/>
      <c r="OC223" s="5"/>
      <c r="OD223" s="5"/>
      <c r="OE223" s="5"/>
      <c r="OF223" s="5"/>
      <c r="OG223" s="5"/>
      <c r="OH223" s="5"/>
      <c r="OI223" s="5"/>
      <c r="OJ223" s="5"/>
      <c r="OK223" s="5"/>
      <c r="OL223" s="5"/>
      <c r="OM223" s="5"/>
      <c r="ON223" s="5"/>
      <c r="OO223" s="5"/>
      <c r="OP223" s="5"/>
      <c r="OQ223" s="5"/>
      <c r="OR223" s="5"/>
      <c r="OS223" s="5"/>
      <c r="OT223" s="5"/>
      <c r="OU223" s="5"/>
      <c r="OV223" s="5"/>
      <c r="OW223" s="5"/>
      <c r="OX223" s="5"/>
      <c r="OY223" s="5"/>
      <c r="OZ223" s="5"/>
      <c r="PA223" s="5"/>
      <c r="PB223" s="5"/>
      <c r="PC223" s="5"/>
      <c r="PD223" s="5"/>
      <c r="PE223" s="5"/>
      <c r="PF223" s="5"/>
      <c r="PG223" s="5"/>
      <c r="PH223" s="5"/>
      <c r="PI223" s="5"/>
      <c r="PJ223" s="5"/>
      <c r="PK223" s="5"/>
      <c r="PL223" s="5"/>
      <c r="PM223" s="5"/>
      <c r="PN223" s="5"/>
      <c r="PO223" s="5"/>
      <c r="PP223" s="5"/>
      <c r="PQ223" s="5"/>
      <c r="PR223" s="5"/>
      <c r="PS223" s="5"/>
      <c r="PT223" s="5"/>
      <c r="PU223" s="5"/>
      <c r="PV223" s="5"/>
      <c r="PW223" s="5"/>
      <c r="PX223" s="5"/>
      <c r="PY223" s="5"/>
      <c r="PZ223" s="5"/>
      <c r="QA223" s="5"/>
      <c r="QB223" s="5"/>
      <c r="QC223" s="5"/>
      <c r="QD223" s="5"/>
      <c r="QE223" s="5"/>
      <c r="QF223" s="5"/>
      <c r="QG223" s="5"/>
      <c r="QH223" s="5"/>
      <c r="QI223" s="5"/>
      <c r="QJ223" s="5"/>
      <c r="QK223" s="5"/>
      <c r="QL223" s="5"/>
      <c r="QM223" s="5"/>
      <c r="QN223" s="5"/>
      <c r="QO223" s="5"/>
      <c r="QP223" s="5"/>
      <c r="QQ223" s="5"/>
      <c r="QR223" s="5"/>
      <c r="QS223" s="5"/>
      <c r="QT223" s="5"/>
      <c r="QU223" s="5"/>
      <c r="QV223" s="5"/>
      <c r="QW223" s="5"/>
      <c r="QX223" s="5"/>
      <c r="QY223" s="5"/>
      <c r="QZ223" s="5"/>
      <c r="RA223" s="5"/>
      <c r="RB223" s="5"/>
      <c r="RC223" s="5"/>
      <c r="RD223" s="5"/>
      <c r="RE223" s="5"/>
      <c r="RF223" s="5"/>
      <c r="RG223" s="5"/>
      <c r="RH223" s="5"/>
      <c r="RI223" s="5"/>
      <c r="RJ223" s="5"/>
      <c r="RK223" s="5"/>
      <c r="RL223" s="5"/>
      <c r="RM223" s="5"/>
      <c r="RN223" s="5"/>
      <c r="RO223" s="5"/>
      <c r="RP223" s="5"/>
      <c r="RQ223" s="5"/>
      <c r="RR223" s="5"/>
      <c r="RS223" s="5"/>
      <c r="RT223" s="5"/>
      <c r="RU223" s="5"/>
      <c r="RV223" s="5"/>
      <c r="RW223" s="5"/>
      <c r="RX223" s="5"/>
      <c r="RY223" s="5"/>
      <c r="RZ223" s="5"/>
      <c r="SA223" s="5"/>
      <c r="SB223" s="5"/>
      <c r="SC223" s="5"/>
      <c r="SD223" s="5"/>
      <c r="SE223" s="5"/>
      <c r="SF223" s="5"/>
      <c r="SG223" s="5"/>
      <c r="SH223" s="5"/>
      <c r="SI223" s="5"/>
      <c r="SJ223" s="5"/>
      <c r="SK223" s="5"/>
      <c r="SL223" s="5"/>
      <c r="SM223" s="5"/>
      <c r="SN223" s="5"/>
      <c r="SO223" s="5"/>
      <c r="SP223" s="5"/>
      <c r="SQ223" s="5"/>
      <c r="SR223" s="5"/>
      <c r="SS223" s="5"/>
      <c r="ST223" s="5"/>
      <c r="SU223" s="5"/>
      <c r="SV223" s="5"/>
      <c r="SW223" s="5"/>
      <c r="SX223" s="5"/>
      <c r="SY223" s="5"/>
      <c r="SZ223" s="5"/>
      <c r="TA223" s="5"/>
      <c r="TB223" s="5"/>
      <c r="TC223" s="5"/>
      <c r="TD223" s="5"/>
      <c r="TE223" s="5"/>
      <c r="TF223" s="5"/>
      <c r="TG223" s="5"/>
      <c r="TH223" s="5"/>
      <c r="TI223" s="5"/>
      <c r="TJ223" s="5"/>
      <c r="TK223" s="5"/>
      <c r="TL223" s="5"/>
      <c r="TM223" s="5"/>
      <c r="TN223" s="5"/>
      <c r="TO223" s="5"/>
      <c r="TP223" s="5"/>
      <c r="TQ223" s="5"/>
      <c r="TR223" s="5"/>
      <c r="TS223" s="5"/>
      <c r="TT223" s="5"/>
      <c r="TU223" s="5"/>
      <c r="TV223" s="5"/>
      <c r="TW223" s="5"/>
      <c r="TX223" s="5"/>
      <c r="TY223" s="5"/>
      <c r="TZ223" s="5"/>
      <c r="UA223" s="5"/>
      <c r="UB223" s="5"/>
      <c r="UC223" s="5"/>
      <c r="UD223" s="5"/>
      <c r="UE223" s="5"/>
      <c r="UF223" s="5"/>
      <c r="UG223" s="5"/>
      <c r="UH223" s="5"/>
      <c r="UI223" s="5"/>
      <c r="UJ223" s="5"/>
      <c r="UK223" s="5"/>
      <c r="UL223" s="5"/>
      <c r="UM223" s="5"/>
      <c r="UN223" s="5"/>
      <c r="UO223" s="5"/>
      <c r="UP223" s="5"/>
      <c r="UQ223" s="5"/>
      <c r="UR223" s="5"/>
      <c r="US223" s="5"/>
      <c r="UT223" s="5"/>
      <c r="UU223" s="5"/>
      <c r="UV223" s="5"/>
      <c r="UW223" s="5"/>
      <c r="UX223" s="5"/>
      <c r="UY223" s="5"/>
      <c r="UZ223" s="5"/>
      <c r="VA223" s="5"/>
      <c r="VB223" s="5"/>
      <c r="VC223" s="5"/>
      <c r="VD223" s="5"/>
      <c r="VE223" s="5"/>
      <c r="VF223" s="5"/>
      <c r="VG223" s="5"/>
      <c r="VH223" s="5"/>
      <c r="VI223" s="5"/>
      <c r="VJ223" s="5"/>
      <c r="VK223" s="5"/>
      <c r="VL223" s="5"/>
      <c r="VM223" s="5"/>
      <c r="VN223" s="5"/>
      <c r="VO223" s="5"/>
      <c r="VP223" s="5"/>
      <c r="VQ223" s="5"/>
      <c r="VR223" s="5"/>
      <c r="VS223" s="5"/>
      <c r="VT223" s="5"/>
    </row>
    <row r="224" spans="1:592" s="36" customFormat="1" ht="63" x14ac:dyDescent="0.2">
      <c r="A224" s="10" t="s">
        <v>453</v>
      </c>
      <c r="B224" s="11">
        <v>48282901</v>
      </c>
      <c r="C224" s="11" t="s">
        <v>324</v>
      </c>
      <c r="D224" s="11">
        <v>3625295</v>
      </c>
      <c r="E224" s="225" t="s">
        <v>285</v>
      </c>
      <c r="F224" s="192" t="s">
        <v>278</v>
      </c>
      <c r="G224" s="201">
        <f>IFERROR(VLOOKUP(D224,List1!$A$5:$B$227,2,FALSE),"0")</f>
        <v>8517000</v>
      </c>
      <c r="H224" s="41" t="str">
        <f>IFERROR(VLOOKUP(D224,List1!$D$5:$E$41,2,FALSE),"0")</f>
        <v>0</v>
      </c>
      <c r="I224" s="41">
        <f>IFERROR(VLOOKUP(D224,List1!$G$5:$H$227,2,FALSE),"0")</f>
        <v>1802210</v>
      </c>
      <c r="J224" s="40">
        <f t="shared" si="26"/>
        <v>10319210</v>
      </c>
      <c r="K224" s="41" t="str">
        <f>IFERROR(VLOOKUP(D224,List1!$J$5:$K$227,2,FALSE),"0")</f>
        <v>0</v>
      </c>
      <c r="L224" s="41" t="str">
        <f>IFERROR(VLOOKUP(D224,List1!$M$5:$N$112,2,FALSE),"0")</f>
        <v>0</v>
      </c>
      <c r="M224" s="43">
        <v>0</v>
      </c>
      <c r="N224" s="80">
        <f>VLOOKUP($D$5:$D$251,List2!$A$2:$B$241,2,FALSE)</f>
        <v>0</v>
      </c>
      <c r="O224" s="80">
        <f>IFERROR(VLOOKUP($D$5:$D$260,List1!$Y$5:$Z$244,2,FALSE),0)</f>
        <v>0</v>
      </c>
      <c r="P224" s="202">
        <f>IFERROR(VLOOKUP($D$5:$D$260,List1!$AB$5:$AC$244,2,FALSE),0)</f>
        <v>0</v>
      </c>
      <c r="Q224" s="201">
        <f>IFERROR(VLOOKUP($D$5:$D$260,List1!$S$5:$T$231,2,FALSE),0)</f>
        <v>10791469</v>
      </c>
      <c r="R224" s="41">
        <v>0</v>
      </c>
      <c r="S224" s="41">
        <f>IFERROR(VLOOKUP($D$5:$D$260,List1!$AE$5:$AF$231,2,FALSE),0)</f>
        <v>484611</v>
      </c>
      <c r="T224" s="41">
        <f t="shared" si="27"/>
        <v>11276080</v>
      </c>
      <c r="U224" s="41" t="str">
        <f>IFERROR(VLOOKUP(D224,List1!$P$5:$Q$110,2,FALSE),"0")</f>
        <v>0</v>
      </c>
      <c r="V224" s="41">
        <v>0</v>
      </c>
      <c r="W224" s="248">
        <v>0</v>
      </c>
      <c r="X224" s="211">
        <f t="shared" si="28"/>
        <v>11276080</v>
      </c>
      <c r="Y224" s="219"/>
      <c r="Z224" s="80">
        <f>IFERROR(VLOOKUP($D$5:$D$260,#REF!,3,FALSE),0)</f>
        <v>0</v>
      </c>
      <c r="AA224" s="80">
        <f>IFERROR(VLOOKUP($D$5:$D$260,#REF!,3,FALSE),0)</f>
        <v>0</v>
      </c>
      <c r="AB224" s="243">
        <v>0</v>
      </c>
      <c r="AC224" s="202">
        <f t="shared" si="29"/>
        <v>0</v>
      </c>
      <c r="AD224" s="259">
        <f t="shared" si="30"/>
        <v>0</v>
      </c>
      <c r="AE224" s="260">
        <f t="shared" si="31"/>
        <v>0</v>
      </c>
      <c r="AF224" s="260">
        <f t="shared" si="32"/>
        <v>0</v>
      </c>
      <c r="AG224" s="260">
        <f t="shared" si="33"/>
        <v>0</v>
      </c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  <c r="IX224" s="5"/>
      <c r="IY224" s="5"/>
      <c r="IZ224" s="5"/>
      <c r="JA224" s="5"/>
      <c r="JB224" s="5"/>
      <c r="JC224" s="5"/>
      <c r="JD224" s="5"/>
      <c r="JE224" s="5"/>
      <c r="JF224" s="5"/>
      <c r="JG224" s="5"/>
      <c r="JH224" s="5"/>
      <c r="JI224" s="5"/>
      <c r="JJ224" s="5"/>
      <c r="JK224" s="5"/>
      <c r="JL224" s="5"/>
      <c r="JM224" s="5"/>
      <c r="JN224" s="5"/>
      <c r="JO224" s="5"/>
      <c r="JP224" s="5"/>
      <c r="JQ224" s="5"/>
      <c r="JR224" s="5"/>
      <c r="JS224" s="5"/>
      <c r="JT224" s="5"/>
      <c r="JU224" s="5"/>
      <c r="JV224" s="5"/>
      <c r="JW224" s="5"/>
      <c r="JX224" s="5"/>
      <c r="JY224" s="5"/>
      <c r="JZ224" s="5"/>
      <c r="KA224" s="5"/>
      <c r="KB224" s="5"/>
      <c r="KC224" s="5"/>
      <c r="KD224" s="5"/>
      <c r="KE224" s="5"/>
      <c r="KF224" s="5"/>
      <c r="KG224" s="5"/>
      <c r="KH224" s="5"/>
      <c r="KI224" s="5"/>
      <c r="KJ224" s="5"/>
      <c r="KK224" s="5"/>
      <c r="KL224" s="5"/>
      <c r="KM224" s="5"/>
      <c r="KN224" s="5"/>
      <c r="KO224" s="5"/>
      <c r="KP224" s="5"/>
      <c r="KQ224" s="5"/>
      <c r="KR224" s="5"/>
      <c r="KS224" s="5"/>
      <c r="KT224" s="5"/>
      <c r="KU224" s="5"/>
      <c r="KV224" s="5"/>
      <c r="KW224" s="5"/>
      <c r="KX224" s="5"/>
      <c r="KY224" s="5"/>
      <c r="KZ224" s="5"/>
      <c r="LA224" s="5"/>
      <c r="LB224" s="5"/>
      <c r="LC224" s="5"/>
      <c r="LD224" s="5"/>
      <c r="LE224" s="5"/>
      <c r="LF224" s="5"/>
      <c r="LG224" s="5"/>
      <c r="LH224" s="5"/>
      <c r="LI224" s="5"/>
      <c r="LJ224" s="5"/>
      <c r="LK224" s="5"/>
      <c r="LL224" s="5"/>
      <c r="LM224" s="5"/>
      <c r="LN224" s="5"/>
      <c r="LO224" s="5"/>
      <c r="LP224" s="5"/>
      <c r="LQ224" s="5"/>
      <c r="LR224" s="5"/>
      <c r="LS224" s="5"/>
      <c r="LT224" s="5"/>
      <c r="LU224" s="5"/>
      <c r="LV224" s="5"/>
      <c r="LW224" s="5"/>
      <c r="LX224" s="5"/>
      <c r="LY224" s="5"/>
      <c r="LZ224" s="5"/>
      <c r="MA224" s="5"/>
      <c r="MB224" s="5"/>
      <c r="MC224" s="5"/>
      <c r="MD224" s="5"/>
      <c r="ME224" s="5"/>
      <c r="MF224" s="5"/>
      <c r="MG224" s="5"/>
      <c r="MH224" s="5"/>
      <c r="MI224" s="5"/>
      <c r="MJ224" s="5"/>
      <c r="MK224" s="5"/>
      <c r="ML224" s="5"/>
      <c r="MM224" s="5"/>
      <c r="MN224" s="5"/>
      <c r="MO224" s="5"/>
      <c r="MP224" s="5"/>
      <c r="MQ224" s="5"/>
      <c r="MR224" s="5"/>
      <c r="MS224" s="5"/>
      <c r="MT224" s="5"/>
      <c r="MU224" s="5"/>
      <c r="MV224" s="5"/>
      <c r="MW224" s="5"/>
      <c r="MX224" s="5"/>
      <c r="MY224" s="5"/>
      <c r="MZ224" s="5"/>
      <c r="NA224" s="5"/>
      <c r="NB224" s="5"/>
      <c r="NC224" s="5"/>
      <c r="ND224" s="5"/>
      <c r="NE224" s="5"/>
      <c r="NF224" s="5"/>
      <c r="NG224" s="5"/>
      <c r="NH224" s="5"/>
      <c r="NI224" s="5"/>
      <c r="NJ224" s="5"/>
      <c r="NK224" s="5"/>
      <c r="NL224" s="5"/>
      <c r="NM224" s="5"/>
      <c r="NN224" s="5"/>
      <c r="NO224" s="5"/>
      <c r="NP224" s="5"/>
      <c r="NQ224" s="5"/>
      <c r="NR224" s="5"/>
      <c r="NS224" s="5"/>
      <c r="NT224" s="5"/>
      <c r="NU224" s="5"/>
      <c r="NV224" s="5"/>
      <c r="NW224" s="5"/>
      <c r="NX224" s="5"/>
      <c r="NY224" s="5"/>
      <c r="NZ224" s="5"/>
      <c r="OA224" s="5"/>
      <c r="OB224" s="5"/>
      <c r="OC224" s="5"/>
      <c r="OD224" s="5"/>
      <c r="OE224" s="5"/>
      <c r="OF224" s="5"/>
      <c r="OG224" s="5"/>
      <c r="OH224" s="5"/>
      <c r="OI224" s="5"/>
      <c r="OJ224" s="5"/>
      <c r="OK224" s="5"/>
      <c r="OL224" s="5"/>
      <c r="OM224" s="5"/>
      <c r="ON224" s="5"/>
      <c r="OO224" s="5"/>
      <c r="OP224" s="5"/>
      <c r="OQ224" s="5"/>
      <c r="OR224" s="5"/>
      <c r="OS224" s="5"/>
      <c r="OT224" s="5"/>
      <c r="OU224" s="5"/>
      <c r="OV224" s="5"/>
      <c r="OW224" s="5"/>
      <c r="OX224" s="5"/>
      <c r="OY224" s="5"/>
      <c r="OZ224" s="5"/>
      <c r="PA224" s="5"/>
      <c r="PB224" s="5"/>
      <c r="PC224" s="5"/>
      <c r="PD224" s="5"/>
      <c r="PE224" s="5"/>
      <c r="PF224" s="5"/>
      <c r="PG224" s="5"/>
      <c r="PH224" s="5"/>
      <c r="PI224" s="5"/>
      <c r="PJ224" s="5"/>
      <c r="PK224" s="5"/>
      <c r="PL224" s="5"/>
      <c r="PM224" s="5"/>
      <c r="PN224" s="5"/>
      <c r="PO224" s="5"/>
      <c r="PP224" s="5"/>
      <c r="PQ224" s="5"/>
      <c r="PR224" s="5"/>
      <c r="PS224" s="5"/>
      <c r="PT224" s="5"/>
      <c r="PU224" s="5"/>
      <c r="PV224" s="5"/>
      <c r="PW224" s="5"/>
      <c r="PX224" s="5"/>
      <c r="PY224" s="5"/>
      <c r="PZ224" s="5"/>
      <c r="QA224" s="5"/>
      <c r="QB224" s="5"/>
      <c r="QC224" s="5"/>
      <c r="QD224" s="5"/>
      <c r="QE224" s="5"/>
      <c r="QF224" s="5"/>
      <c r="QG224" s="5"/>
      <c r="QH224" s="5"/>
      <c r="QI224" s="5"/>
      <c r="QJ224" s="5"/>
      <c r="QK224" s="5"/>
      <c r="QL224" s="5"/>
      <c r="QM224" s="5"/>
      <c r="QN224" s="5"/>
      <c r="QO224" s="5"/>
      <c r="QP224" s="5"/>
      <c r="QQ224" s="5"/>
      <c r="QR224" s="5"/>
      <c r="QS224" s="5"/>
      <c r="QT224" s="5"/>
      <c r="QU224" s="5"/>
      <c r="QV224" s="5"/>
      <c r="QW224" s="5"/>
      <c r="QX224" s="5"/>
      <c r="QY224" s="5"/>
      <c r="QZ224" s="5"/>
      <c r="RA224" s="5"/>
      <c r="RB224" s="5"/>
      <c r="RC224" s="5"/>
      <c r="RD224" s="5"/>
      <c r="RE224" s="5"/>
      <c r="RF224" s="5"/>
      <c r="RG224" s="5"/>
      <c r="RH224" s="5"/>
      <c r="RI224" s="5"/>
      <c r="RJ224" s="5"/>
      <c r="RK224" s="5"/>
      <c r="RL224" s="5"/>
      <c r="RM224" s="5"/>
      <c r="RN224" s="5"/>
      <c r="RO224" s="5"/>
      <c r="RP224" s="5"/>
      <c r="RQ224" s="5"/>
      <c r="RR224" s="5"/>
      <c r="RS224" s="5"/>
      <c r="RT224" s="5"/>
      <c r="RU224" s="5"/>
      <c r="RV224" s="5"/>
      <c r="RW224" s="5"/>
      <c r="RX224" s="5"/>
      <c r="RY224" s="5"/>
      <c r="RZ224" s="5"/>
      <c r="SA224" s="5"/>
      <c r="SB224" s="5"/>
      <c r="SC224" s="5"/>
      <c r="SD224" s="5"/>
      <c r="SE224" s="5"/>
      <c r="SF224" s="5"/>
      <c r="SG224" s="5"/>
      <c r="SH224" s="5"/>
      <c r="SI224" s="5"/>
      <c r="SJ224" s="5"/>
      <c r="SK224" s="5"/>
      <c r="SL224" s="5"/>
      <c r="SM224" s="5"/>
      <c r="SN224" s="5"/>
      <c r="SO224" s="5"/>
      <c r="SP224" s="5"/>
      <c r="SQ224" s="5"/>
      <c r="SR224" s="5"/>
      <c r="SS224" s="5"/>
      <c r="ST224" s="5"/>
      <c r="SU224" s="5"/>
      <c r="SV224" s="5"/>
      <c r="SW224" s="5"/>
      <c r="SX224" s="5"/>
      <c r="SY224" s="5"/>
      <c r="SZ224" s="5"/>
      <c r="TA224" s="5"/>
      <c r="TB224" s="5"/>
      <c r="TC224" s="5"/>
      <c r="TD224" s="5"/>
      <c r="TE224" s="5"/>
      <c r="TF224" s="5"/>
      <c r="TG224" s="5"/>
      <c r="TH224" s="5"/>
      <c r="TI224" s="5"/>
      <c r="TJ224" s="5"/>
      <c r="TK224" s="5"/>
      <c r="TL224" s="5"/>
      <c r="TM224" s="5"/>
      <c r="TN224" s="5"/>
      <c r="TO224" s="5"/>
      <c r="TP224" s="5"/>
      <c r="TQ224" s="5"/>
      <c r="TR224" s="5"/>
      <c r="TS224" s="5"/>
      <c r="TT224" s="5"/>
      <c r="TU224" s="5"/>
      <c r="TV224" s="5"/>
      <c r="TW224" s="5"/>
      <c r="TX224" s="5"/>
      <c r="TY224" s="5"/>
      <c r="TZ224" s="5"/>
      <c r="UA224" s="5"/>
      <c r="UB224" s="5"/>
      <c r="UC224" s="5"/>
      <c r="UD224" s="5"/>
      <c r="UE224" s="5"/>
      <c r="UF224" s="5"/>
      <c r="UG224" s="5"/>
      <c r="UH224" s="5"/>
      <c r="UI224" s="5"/>
      <c r="UJ224" s="5"/>
      <c r="UK224" s="5"/>
      <c r="UL224" s="5"/>
      <c r="UM224" s="5"/>
      <c r="UN224" s="5"/>
      <c r="UO224" s="5"/>
      <c r="UP224" s="5"/>
      <c r="UQ224" s="5"/>
      <c r="UR224" s="5"/>
      <c r="US224" s="5"/>
      <c r="UT224" s="5"/>
      <c r="UU224" s="5"/>
      <c r="UV224" s="5"/>
      <c r="UW224" s="5"/>
      <c r="UX224" s="5"/>
      <c r="UY224" s="5"/>
      <c r="UZ224" s="5"/>
      <c r="VA224" s="5"/>
      <c r="VB224" s="5"/>
      <c r="VC224" s="5"/>
      <c r="VD224" s="5"/>
      <c r="VE224" s="5"/>
      <c r="VF224" s="5"/>
      <c r="VG224" s="5"/>
      <c r="VH224" s="5"/>
      <c r="VI224" s="5"/>
      <c r="VJ224" s="5"/>
      <c r="VK224" s="5"/>
      <c r="VL224" s="5"/>
      <c r="VM224" s="5"/>
      <c r="VN224" s="5"/>
      <c r="VO224" s="5"/>
      <c r="VP224" s="5"/>
      <c r="VQ224" s="5"/>
      <c r="VR224" s="5"/>
      <c r="VS224" s="5"/>
      <c r="VT224" s="5"/>
    </row>
    <row r="225" spans="1:592" s="36" customFormat="1" ht="63" x14ac:dyDescent="0.2">
      <c r="A225" s="10" t="s">
        <v>454</v>
      </c>
      <c r="B225" s="11">
        <v>75143861</v>
      </c>
      <c r="C225" s="11" t="s">
        <v>324</v>
      </c>
      <c r="D225" s="11">
        <v>7901485</v>
      </c>
      <c r="E225" s="225" t="s">
        <v>325</v>
      </c>
      <c r="F225" s="192" t="s">
        <v>300</v>
      </c>
      <c r="G225" s="201">
        <f>IFERROR(VLOOKUP(D225,List1!$A$5:$B$227,2,FALSE),"0")</f>
        <v>4049000</v>
      </c>
      <c r="H225" s="41" t="str">
        <f>IFERROR(VLOOKUP(D225,List1!$D$5:$E$41,2,FALSE),"0")</f>
        <v>0</v>
      </c>
      <c r="I225" s="41">
        <f>IFERROR(VLOOKUP(D225,List1!$G$5:$H$227,2,FALSE),"0")</f>
        <v>460257</v>
      </c>
      <c r="J225" s="40">
        <f t="shared" si="26"/>
        <v>4509257</v>
      </c>
      <c r="K225" s="41" t="str">
        <f>IFERROR(VLOOKUP(D225,List1!$J$5:$K$227,2,FALSE),"0")</f>
        <v>0</v>
      </c>
      <c r="L225" s="41" t="str">
        <f>IFERROR(VLOOKUP(D225,List1!$M$5:$N$112,2,FALSE),"0")</f>
        <v>0</v>
      </c>
      <c r="M225" s="43">
        <v>0</v>
      </c>
      <c r="N225" s="80">
        <f>VLOOKUP($D$5:$D$251,List2!$A$2:$B$241,2,FALSE)</f>
        <v>0</v>
      </c>
      <c r="O225" s="80">
        <f>IFERROR(VLOOKUP($D$5:$D$260,List1!$Y$5:$Z$244,2,FALSE),0)</f>
        <v>0</v>
      </c>
      <c r="P225" s="202">
        <f>IFERROR(VLOOKUP($D$5:$D$260,List1!$AB$5:$AC$244,2,FALSE),0)</f>
        <v>0</v>
      </c>
      <c r="Q225" s="201">
        <f>IFERROR(VLOOKUP($D$5:$D$260,List1!$S$5:$T$231,2,FALSE),0)</f>
        <v>3840381</v>
      </c>
      <c r="R225" s="41">
        <v>0</v>
      </c>
      <c r="S225" s="41">
        <f>IFERROR(VLOOKUP($D$5:$D$260,List1!$AE$5:$AF$231,2,FALSE),0)</f>
        <v>800000</v>
      </c>
      <c r="T225" s="41">
        <f t="shared" si="27"/>
        <v>4640381</v>
      </c>
      <c r="U225" s="41" t="str">
        <f>IFERROR(VLOOKUP(D225,List1!$P$5:$Q$110,2,FALSE),"0")</f>
        <v>0</v>
      </c>
      <c r="V225" s="41">
        <v>0</v>
      </c>
      <c r="W225" s="248">
        <v>0</v>
      </c>
      <c r="X225" s="211">
        <f t="shared" si="28"/>
        <v>4640381</v>
      </c>
      <c r="Y225" s="219"/>
      <c r="Z225" s="80">
        <f>IFERROR(VLOOKUP($D$5:$D$260,#REF!,3,FALSE),0)</f>
        <v>0</v>
      </c>
      <c r="AA225" s="80">
        <f>IFERROR(VLOOKUP($D$5:$D$260,#REF!,3,FALSE),0)</f>
        <v>0</v>
      </c>
      <c r="AB225" s="243">
        <v>0</v>
      </c>
      <c r="AC225" s="202">
        <f t="shared" si="29"/>
        <v>0</v>
      </c>
      <c r="AD225" s="259">
        <f t="shared" si="30"/>
        <v>0</v>
      </c>
      <c r="AE225" s="260">
        <f t="shared" si="31"/>
        <v>0</v>
      </c>
      <c r="AF225" s="260">
        <f t="shared" si="32"/>
        <v>0</v>
      </c>
      <c r="AG225" s="260">
        <f t="shared" si="33"/>
        <v>0</v>
      </c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  <c r="IX225" s="5"/>
      <c r="IY225" s="5"/>
      <c r="IZ225" s="5"/>
      <c r="JA225" s="5"/>
      <c r="JB225" s="5"/>
      <c r="JC225" s="5"/>
      <c r="JD225" s="5"/>
      <c r="JE225" s="5"/>
      <c r="JF225" s="5"/>
      <c r="JG225" s="5"/>
      <c r="JH225" s="5"/>
      <c r="JI225" s="5"/>
      <c r="JJ225" s="5"/>
      <c r="JK225" s="5"/>
      <c r="JL225" s="5"/>
      <c r="JM225" s="5"/>
      <c r="JN225" s="5"/>
      <c r="JO225" s="5"/>
      <c r="JP225" s="5"/>
      <c r="JQ225" s="5"/>
      <c r="JR225" s="5"/>
      <c r="JS225" s="5"/>
      <c r="JT225" s="5"/>
      <c r="JU225" s="5"/>
      <c r="JV225" s="5"/>
      <c r="JW225" s="5"/>
      <c r="JX225" s="5"/>
      <c r="JY225" s="5"/>
      <c r="JZ225" s="5"/>
      <c r="KA225" s="5"/>
      <c r="KB225" s="5"/>
      <c r="KC225" s="5"/>
      <c r="KD225" s="5"/>
      <c r="KE225" s="5"/>
      <c r="KF225" s="5"/>
      <c r="KG225" s="5"/>
      <c r="KH225" s="5"/>
      <c r="KI225" s="5"/>
      <c r="KJ225" s="5"/>
      <c r="KK225" s="5"/>
      <c r="KL225" s="5"/>
      <c r="KM225" s="5"/>
      <c r="KN225" s="5"/>
      <c r="KO225" s="5"/>
      <c r="KP225" s="5"/>
      <c r="KQ225" s="5"/>
      <c r="KR225" s="5"/>
      <c r="KS225" s="5"/>
      <c r="KT225" s="5"/>
      <c r="KU225" s="5"/>
      <c r="KV225" s="5"/>
      <c r="KW225" s="5"/>
      <c r="KX225" s="5"/>
      <c r="KY225" s="5"/>
      <c r="KZ225" s="5"/>
      <c r="LA225" s="5"/>
      <c r="LB225" s="5"/>
      <c r="LC225" s="5"/>
      <c r="LD225" s="5"/>
      <c r="LE225" s="5"/>
      <c r="LF225" s="5"/>
      <c r="LG225" s="5"/>
      <c r="LH225" s="5"/>
      <c r="LI225" s="5"/>
      <c r="LJ225" s="5"/>
      <c r="LK225" s="5"/>
      <c r="LL225" s="5"/>
      <c r="LM225" s="5"/>
      <c r="LN225" s="5"/>
      <c r="LO225" s="5"/>
      <c r="LP225" s="5"/>
      <c r="LQ225" s="5"/>
      <c r="LR225" s="5"/>
      <c r="LS225" s="5"/>
      <c r="LT225" s="5"/>
      <c r="LU225" s="5"/>
      <c r="LV225" s="5"/>
      <c r="LW225" s="5"/>
      <c r="LX225" s="5"/>
      <c r="LY225" s="5"/>
      <c r="LZ225" s="5"/>
      <c r="MA225" s="5"/>
      <c r="MB225" s="5"/>
      <c r="MC225" s="5"/>
      <c r="MD225" s="5"/>
      <c r="ME225" s="5"/>
      <c r="MF225" s="5"/>
      <c r="MG225" s="5"/>
      <c r="MH225" s="5"/>
      <c r="MI225" s="5"/>
      <c r="MJ225" s="5"/>
      <c r="MK225" s="5"/>
      <c r="ML225" s="5"/>
      <c r="MM225" s="5"/>
      <c r="MN225" s="5"/>
      <c r="MO225" s="5"/>
      <c r="MP225" s="5"/>
      <c r="MQ225" s="5"/>
      <c r="MR225" s="5"/>
      <c r="MS225" s="5"/>
      <c r="MT225" s="5"/>
      <c r="MU225" s="5"/>
      <c r="MV225" s="5"/>
      <c r="MW225" s="5"/>
      <c r="MX225" s="5"/>
      <c r="MY225" s="5"/>
      <c r="MZ225" s="5"/>
      <c r="NA225" s="5"/>
      <c r="NB225" s="5"/>
      <c r="NC225" s="5"/>
      <c r="ND225" s="5"/>
      <c r="NE225" s="5"/>
      <c r="NF225" s="5"/>
      <c r="NG225" s="5"/>
      <c r="NH225" s="5"/>
      <c r="NI225" s="5"/>
      <c r="NJ225" s="5"/>
      <c r="NK225" s="5"/>
      <c r="NL225" s="5"/>
      <c r="NM225" s="5"/>
      <c r="NN225" s="5"/>
      <c r="NO225" s="5"/>
      <c r="NP225" s="5"/>
      <c r="NQ225" s="5"/>
      <c r="NR225" s="5"/>
      <c r="NS225" s="5"/>
      <c r="NT225" s="5"/>
      <c r="NU225" s="5"/>
      <c r="NV225" s="5"/>
      <c r="NW225" s="5"/>
      <c r="NX225" s="5"/>
      <c r="NY225" s="5"/>
      <c r="NZ225" s="5"/>
      <c r="OA225" s="5"/>
      <c r="OB225" s="5"/>
      <c r="OC225" s="5"/>
      <c r="OD225" s="5"/>
      <c r="OE225" s="5"/>
      <c r="OF225" s="5"/>
      <c r="OG225" s="5"/>
      <c r="OH225" s="5"/>
      <c r="OI225" s="5"/>
      <c r="OJ225" s="5"/>
      <c r="OK225" s="5"/>
      <c r="OL225" s="5"/>
      <c r="OM225" s="5"/>
      <c r="ON225" s="5"/>
      <c r="OO225" s="5"/>
      <c r="OP225" s="5"/>
      <c r="OQ225" s="5"/>
      <c r="OR225" s="5"/>
      <c r="OS225" s="5"/>
      <c r="OT225" s="5"/>
      <c r="OU225" s="5"/>
      <c r="OV225" s="5"/>
      <c r="OW225" s="5"/>
      <c r="OX225" s="5"/>
      <c r="OY225" s="5"/>
      <c r="OZ225" s="5"/>
      <c r="PA225" s="5"/>
      <c r="PB225" s="5"/>
      <c r="PC225" s="5"/>
      <c r="PD225" s="5"/>
      <c r="PE225" s="5"/>
      <c r="PF225" s="5"/>
      <c r="PG225" s="5"/>
      <c r="PH225" s="5"/>
      <c r="PI225" s="5"/>
      <c r="PJ225" s="5"/>
      <c r="PK225" s="5"/>
      <c r="PL225" s="5"/>
      <c r="PM225" s="5"/>
      <c r="PN225" s="5"/>
      <c r="PO225" s="5"/>
      <c r="PP225" s="5"/>
      <c r="PQ225" s="5"/>
      <c r="PR225" s="5"/>
      <c r="PS225" s="5"/>
      <c r="PT225" s="5"/>
      <c r="PU225" s="5"/>
      <c r="PV225" s="5"/>
      <c r="PW225" s="5"/>
      <c r="PX225" s="5"/>
      <c r="PY225" s="5"/>
      <c r="PZ225" s="5"/>
      <c r="QA225" s="5"/>
      <c r="QB225" s="5"/>
      <c r="QC225" s="5"/>
      <c r="QD225" s="5"/>
      <c r="QE225" s="5"/>
      <c r="QF225" s="5"/>
      <c r="QG225" s="5"/>
      <c r="QH225" s="5"/>
      <c r="QI225" s="5"/>
      <c r="QJ225" s="5"/>
      <c r="QK225" s="5"/>
      <c r="QL225" s="5"/>
      <c r="QM225" s="5"/>
      <c r="QN225" s="5"/>
      <c r="QO225" s="5"/>
      <c r="QP225" s="5"/>
      <c r="QQ225" s="5"/>
      <c r="QR225" s="5"/>
      <c r="QS225" s="5"/>
      <c r="QT225" s="5"/>
      <c r="QU225" s="5"/>
      <c r="QV225" s="5"/>
      <c r="QW225" s="5"/>
      <c r="QX225" s="5"/>
      <c r="QY225" s="5"/>
      <c r="QZ225" s="5"/>
      <c r="RA225" s="5"/>
      <c r="RB225" s="5"/>
      <c r="RC225" s="5"/>
      <c r="RD225" s="5"/>
      <c r="RE225" s="5"/>
      <c r="RF225" s="5"/>
      <c r="RG225" s="5"/>
      <c r="RH225" s="5"/>
      <c r="RI225" s="5"/>
      <c r="RJ225" s="5"/>
      <c r="RK225" s="5"/>
      <c r="RL225" s="5"/>
      <c r="RM225" s="5"/>
      <c r="RN225" s="5"/>
      <c r="RO225" s="5"/>
      <c r="RP225" s="5"/>
      <c r="RQ225" s="5"/>
      <c r="RR225" s="5"/>
      <c r="RS225" s="5"/>
      <c r="RT225" s="5"/>
      <c r="RU225" s="5"/>
      <c r="RV225" s="5"/>
      <c r="RW225" s="5"/>
      <c r="RX225" s="5"/>
      <c r="RY225" s="5"/>
      <c r="RZ225" s="5"/>
      <c r="SA225" s="5"/>
      <c r="SB225" s="5"/>
      <c r="SC225" s="5"/>
      <c r="SD225" s="5"/>
      <c r="SE225" s="5"/>
      <c r="SF225" s="5"/>
      <c r="SG225" s="5"/>
      <c r="SH225" s="5"/>
      <c r="SI225" s="5"/>
      <c r="SJ225" s="5"/>
      <c r="SK225" s="5"/>
      <c r="SL225" s="5"/>
      <c r="SM225" s="5"/>
      <c r="SN225" s="5"/>
      <c r="SO225" s="5"/>
      <c r="SP225" s="5"/>
      <c r="SQ225" s="5"/>
      <c r="SR225" s="5"/>
      <c r="SS225" s="5"/>
      <c r="ST225" s="5"/>
      <c r="SU225" s="5"/>
      <c r="SV225" s="5"/>
      <c r="SW225" s="5"/>
      <c r="SX225" s="5"/>
      <c r="SY225" s="5"/>
      <c r="SZ225" s="5"/>
      <c r="TA225" s="5"/>
      <c r="TB225" s="5"/>
      <c r="TC225" s="5"/>
      <c r="TD225" s="5"/>
      <c r="TE225" s="5"/>
      <c r="TF225" s="5"/>
      <c r="TG225" s="5"/>
      <c r="TH225" s="5"/>
      <c r="TI225" s="5"/>
      <c r="TJ225" s="5"/>
      <c r="TK225" s="5"/>
      <c r="TL225" s="5"/>
      <c r="TM225" s="5"/>
      <c r="TN225" s="5"/>
      <c r="TO225" s="5"/>
      <c r="TP225" s="5"/>
      <c r="TQ225" s="5"/>
      <c r="TR225" s="5"/>
      <c r="TS225" s="5"/>
      <c r="TT225" s="5"/>
      <c r="TU225" s="5"/>
      <c r="TV225" s="5"/>
      <c r="TW225" s="5"/>
      <c r="TX225" s="5"/>
      <c r="TY225" s="5"/>
      <c r="TZ225" s="5"/>
      <c r="UA225" s="5"/>
      <c r="UB225" s="5"/>
      <c r="UC225" s="5"/>
      <c r="UD225" s="5"/>
      <c r="UE225" s="5"/>
      <c r="UF225" s="5"/>
      <c r="UG225" s="5"/>
      <c r="UH225" s="5"/>
      <c r="UI225" s="5"/>
      <c r="UJ225" s="5"/>
      <c r="UK225" s="5"/>
      <c r="UL225" s="5"/>
      <c r="UM225" s="5"/>
      <c r="UN225" s="5"/>
      <c r="UO225" s="5"/>
      <c r="UP225" s="5"/>
      <c r="UQ225" s="5"/>
      <c r="UR225" s="5"/>
      <c r="US225" s="5"/>
      <c r="UT225" s="5"/>
      <c r="UU225" s="5"/>
      <c r="UV225" s="5"/>
      <c r="UW225" s="5"/>
      <c r="UX225" s="5"/>
      <c r="UY225" s="5"/>
      <c r="UZ225" s="5"/>
      <c r="VA225" s="5"/>
      <c r="VB225" s="5"/>
      <c r="VC225" s="5"/>
      <c r="VD225" s="5"/>
      <c r="VE225" s="5"/>
      <c r="VF225" s="5"/>
      <c r="VG225" s="5"/>
      <c r="VH225" s="5"/>
      <c r="VI225" s="5"/>
      <c r="VJ225" s="5"/>
      <c r="VK225" s="5"/>
      <c r="VL225" s="5"/>
      <c r="VM225" s="5"/>
      <c r="VN225" s="5"/>
      <c r="VO225" s="5"/>
      <c r="VP225" s="5"/>
      <c r="VQ225" s="5"/>
      <c r="VR225" s="5"/>
      <c r="VS225" s="5"/>
      <c r="VT225" s="5"/>
    </row>
    <row r="226" spans="1:592" s="36" customFormat="1" ht="63" x14ac:dyDescent="0.2">
      <c r="A226" s="10" t="s">
        <v>454</v>
      </c>
      <c r="B226" s="11">
        <v>75143861</v>
      </c>
      <c r="C226" s="11" t="s">
        <v>324</v>
      </c>
      <c r="D226" s="11">
        <v>1280179</v>
      </c>
      <c r="E226" s="225" t="s">
        <v>289</v>
      </c>
      <c r="F226" s="192" t="s">
        <v>269</v>
      </c>
      <c r="G226" s="201">
        <f>IFERROR(VLOOKUP(D226,List1!$A$5:$B$227,2,FALSE),"0")</f>
        <v>225000</v>
      </c>
      <c r="H226" s="41" t="str">
        <f>IFERROR(VLOOKUP(D226,List1!$D$5:$E$41,2,FALSE),"0")</f>
        <v>0</v>
      </c>
      <c r="I226" s="41" t="str">
        <f>IFERROR(VLOOKUP(D226,List1!$G$5:$H$227,2,FALSE),"0")</f>
        <v>0</v>
      </c>
      <c r="J226" s="40">
        <f t="shared" si="26"/>
        <v>225000</v>
      </c>
      <c r="K226" s="41" t="str">
        <f>IFERROR(VLOOKUP(D226,List1!$J$5:$K$227,2,FALSE),"0")</f>
        <v>0</v>
      </c>
      <c r="L226" s="41" t="str">
        <f>IFERROR(VLOOKUP(D226,List1!$M$5:$N$112,2,FALSE),"0")</f>
        <v>0</v>
      </c>
      <c r="M226" s="43">
        <v>0</v>
      </c>
      <c r="N226" s="80">
        <f>VLOOKUP($D$5:$D$251,List2!$A$2:$B$241,2,FALSE)</f>
        <v>0</v>
      </c>
      <c r="O226" s="80">
        <f>IFERROR(VLOOKUP($D$5:$D$260,List1!$Y$5:$Z$244,2,FALSE),0)</f>
        <v>0</v>
      </c>
      <c r="P226" s="202">
        <f>IFERROR(VLOOKUP($D$5:$D$260,List1!$AB$5:$AC$244,2,FALSE),0)</f>
        <v>0</v>
      </c>
      <c r="Q226" s="201">
        <f>IFERROR(VLOOKUP($D$5:$D$260,List1!$S$5:$T$231,2,FALSE),0)</f>
        <v>192019</v>
      </c>
      <c r="R226" s="41">
        <v>0</v>
      </c>
      <c r="S226" s="41">
        <f>IFERROR(VLOOKUP($D$5:$D$260,List1!$AE$5:$AF$231,2,FALSE),0)</f>
        <v>0</v>
      </c>
      <c r="T226" s="41">
        <f t="shared" si="27"/>
        <v>192019</v>
      </c>
      <c r="U226" s="41" t="str">
        <f>IFERROR(VLOOKUP(D226,List1!$P$5:$Q$110,2,FALSE),"0")</f>
        <v>0</v>
      </c>
      <c r="V226" s="41">
        <v>0</v>
      </c>
      <c r="W226" s="248">
        <v>0</v>
      </c>
      <c r="X226" s="211">
        <f t="shared" si="28"/>
        <v>192019</v>
      </c>
      <c r="Y226" s="219"/>
      <c r="Z226" s="80">
        <f>IFERROR(VLOOKUP($D$5:$D$260,#REF!,3,FALSE),0)</f>
        <v>0</v>
      </c>
      <c r="AA226" s="80">
        <f>IFERROR(VLOOKUP($D$5:$D$260,#REF!,3,FALSE),0)</f>
        <v>0</v>
      </c>
      <c r="AB226" s="243">
        <v>0</v>
      </c>
      <c r="AC226" s="202">
        <f t="shared" si="29"/>
        <v>0</v>
      </c>
      <c r="AD226" s="259">
        <f t="shared" si="30"/>
        <v>0</v>
      </c>
      <c r="AE226" s="260">
        <f t="shared" si="31"/>
        <v>0</v>
      </c>
      <c r="AF226" s="260">
        <f t="shared" si="32"/>
        <v>0</v>
      </c>
      <c r="AG226" s="260">
        <f t="shared" si="33"/>
        <v>0</v>
      </c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  <c r="IX226" s="5"/>
      <c r="IY226" s="5"/>
      <c r="IZ226" s="5"/>
      <c r="JA226" s="5"/>
      <c r="JB226" s="5"/>
      <c r="JC226" s="5"/>
      <c r="JD226" s="5"/>
      <c r="JE226" s="5"/>
      <c r="JF226" s="5"/>
      <c r="JG226" s="5"/>
      <c r="JH226" s="5"/>
      <c r="JI226" s="5"/>
      <c r="JJ226" s="5"/>
      <c r="JK226" s="5"/>
      <c r="JL226" s="5"/>
      <c r="JM226" s="5"/>
      <c r="JN226" s="5"/>
      <c r="JO226" s="5"/>
      <c r="JP226" s="5"/>
      <c r="JQ226" s="5"/>
      <c r="JR226" s="5"/>
      <c r="JS226" s="5"/>
      <c r="JT226" s="5"/>
      <c r="JU226" s="5"/>
      <c r="JV226" s="5"/>
      <c r="JW226" s="5"/>
      <c r="JX226" s="5"/>
      <c r="JY226" s="5"/>
      <c r="JZ226" s="5"/>
      <c r="KA226" s="5"/>
      <c r="KB226" s="5"/>
      <c r="KC226" s="5"/>
      <c r="KD226" s="5"/>
      <c r="KE226" s="5"/>
      <c r="KF226" s="5"/>
      <c r="KG226" s="5"/>
      <c r="KH226" s="5"/>
      <c r="KI226" s="5"/>
      <c r="KJ226" s="5"/>
      <c r="KK226" s="5"/>
      <c r="KL226" s="5"/>
      <c r="KM226" s="5"/>
      <c r="KN226" s="5"/>
      <c r="KO226" s="5"/>
      <c r="KP226" s="5"/>
      <c r="KQ226" s="5"/>
      <c r="KR226" s="5"/>
      <c r="KS226" s="5"/>
      <c r="KT226" s="5"/>
      <c r="KU226" s="5"/>
      <c r="KV226" s="5"/>
      <c r="KW226" s="5"/>
      <c r="KX226" s="5"/>
      <c r="KY226" s="5"/>
      <c r="KZ226" s="5"/>
      <c r="LA226" s="5"/>
      <c r="LB226" s="5"/>
      <c r="LC226" s="5"/>
      <c r="LD226" s="5"/>
      <c r="LE226" s="5"/>
      <c r="LF226" s="5"/>
      <c r="LG226" s="5"/>
      <c r="LH226" s="5"/>
      <c r="LI226" s="5"/>
      <c r="LJ226" s="5"/>
      <c r="LK226" s="5"/>
      <c r="LL226" s="5"/>
      <c r="LM226" s="5"/>
      <c r="LN226" s="5"/>
      <c r="LO226" s="5"/>
      <c r="LP226" s="5"/>
      <c r="LQ226" s="5"/>
      <c r="LR226" s="5"/>
      <c r="LS226" s="5"/>
      <c r="LT226" s="5"/>
      <c r="LU226" s="5"/>
      <c r="LV226" s="5"/>
      <c r="LW226" s="5"/>
      <c r="LX226" s="5"/>
      <c r="LY226" s="5"/>
      <c r="LZ226" s="5"/>
      <c r="MA226" s="5"/>
      <c r="MB226" s="5"/>
      <c r="MC226" s="5"/>
      <c r="MD226" s="5"/>
      <c r="ME226" s="5"/>
      <c r="MF226" s="5"/>
      <c r="MG226" s="5"/>
      <c r="MH226" s="5"/>
      <c r="MI226" s="5"/>
      <c r="MJ226" s="5"/>
      <c r="MK226" s="5"/>
      <c r="ML226" s="5"/>
      <c r="MM226" s="5"/>
      <c r="MN226" s="5"/>
      <c r="MO226" s="5"/>
      <c r="MP226" s="5"/>
      <c r="MQ226" s="5"/>
      <c r="MR226" s="5"/>
      <c r="MS226" s="5"/>
      <c r="MT226" s="5"/>
      <c r="MU226" s="5"/>
      <c r="MV226" s="5"/>
      <c r="MW226" s="5"/>
      <c r="MX226" s="5"/>
      <c r="MY226" s="5"/>
      <c r="MZ226" s="5"/>
      <c r="NA226" s="5"/>
      <c r="NB226" s="5"/>
      <c r="NC226" s="5"/>
      <c r="ND226" s="5"/>
      <c r="NE226" s="5"/>
      <c r="NF226" s="5"/>
      <c r="NG226" s="5"/>
      <c r="NH226" s="5"/>
      <c r="NI226" s="5"/>
      <c r="NJ226" s="5"/>
      <c r="NK226" s="5"/>
      <c r="NL226" s="5"/>
      <c r="NM226" s="5"/>
      <c r="NN226" s="5"/>
      <c r="NO226" s="5"/>
      <c r="NP226" s="5"/>
      <c r="NQ226" s="5"/>
      <c r="NR226" s="5"/>
      <c r="NS226" s="5"/>
      <c r="NT226" s="5"/>
      <c r="NU226" s="5"/>
      <c r="NV226" s="5"/>
      <c r="NW226" s="5"/>
      <c r="NX226" s="5"/>
      <c r="NY226" s="5"/>
      <c r="NZ226" s="5"/>
      <c r="OA226" s="5"/>
      <c r="OB226" s="5"/>
      <c r="OC226" s="5"/>
      <c r="OD226" s="5"/>
      <c r="OE226" s="5"/>
      <c r="OF226" s="5"/>
      <c r="OG226" s="5"/>
      <c r="OH226" s="5"/>
      <c r="OI226" s="5"/>
      <c r="OJ226" s="5"/>
      <c r="OK226" s="5"/>
      <c r="OL226" s="5"/>
      <c r="OM226" s="5"/>
      <c r="ON226" s="5"/>
      <c r="OO226" s="5"/>
      <c r="OP226" s="5"/>
      <c r="OQ226" s="5"/>
      <c r="OR226" s="5"/>
      <c r="OS226" s="5"/>
      <c r="OT226" s="5"/>
      <c r="OU226" s="5"/>
      <c r="OV226" s="5"/>
      <c r="OW226" s="5"/>
      <c r="OX226" s="5"/>
      <c r="OY226" s="5"/>
      <c r="OZ226" s="5"/>
      <c r="PA226" s="5"/>
      <c r="PB226" s="5"/>
      <c r="PC226" s="5"/>
      <c r="PD226" s="5"/>
      <c r="PE226" s="5"/>
      <c r="PF226" s="5"/>
      <c r="PG226" s="5"/>
      <c r="PH226" s="5"/>
      <c r="PI226" s="5"/>
      <c r="PJ226" s="5"/>
      <c r="PK226" s="5"/>
      <c r="PL226" s="5"/>
      <c r="PM226" s="5"/>
      <c r="PN226" s="5"/>
      <c r="PO226" s="5"/>
      <c r="PP226" s="5"/>
      <c r="PQ226" s="5"/>
      <c r="PR226" s="5"/>
      <c r="PS226" s="5"/>
      <c r="PT226" s="5"/>
      <c r="PU226" s="5"/>
      <c r="PV226" s="5"/>
      <c r="PW226" s="5"/>
      <c r="PX226" s="5"/>
      <c r="PY226" s="5"/>
      <c r="PZ226" s="5"/>
      <c r="QA226" s="5"/>
      <c r="QB226" s="5"/>
      <c r="QC226" s="5"/>
      <c r="QD226" s="5"/>
      <c r="QE226" s="5"/>
      <c r="QF226" s="5"/>
      <c r="QG226" s="5"/>
      <c r="QH226" s="5"/>
      <c r="QI226" s="5"/>
      <c r="QJ226" s="5"/>
      <c r="QK226" s="5"/>
      <c r="QL226" s="5"/>
      <c r="QM226" s="5"/>
      <c r="QN226" s="5"/>
      <c r="QO226" s="5"/>
      <c r="QP226" s="5"/>
      <c r="QQ226" s="5"/>
      <c r="QR226" s="5"/>
      <c r="QS226" s="5"/>
      <c r="QT226" s="5"/>
      <c r="QU226" s="5"/>
      <c r="QV226" s="5"/>
      <c r="QW226" s="5"/>
      <c r="QX226" s="5"/>
      <c r="QY226" s="5"/>
      <c r="QZ226" s="5"/>
      <c r="RA226" s="5"/>
      <c r="RB226" s="5"/>
      <c r="RC226" s="5"/>
      <c r="RD226" s="5"/>
      <c r="RE226" s="5"/>
      <c r="RF226" s="5"/>
      <c r="RG226" s="5"/>
      <c r="RH226" s="5"/>
      <c r="RI226" s="5"/>
      <c r="RJ226" s="5"/>
      <c r="RK226" s="5"/>
      <c r="RL226" s="5"/>
      <c r="RM226" s="5"/>
      <c r="RN226" s="5"/>
      <c r="RO226" s="5"/>
      <c r="RP226" s="5"/>
      <c r="RQ226" s="5"/>
      <c r="RR226" s="5"/>
      <c r="RS226" s="5"/>
      <c r="RT226" s="5"/>
      <c r="RU226" s="5"/>
      <c r="RV226" s="5"/>
      <c r="RW226" s="5"/>
      <c r="RX226" s="5"/>
      <c r="RY226" s="5"/>
      <c r="RZ226" s="5"/>
      <c r="SA226" s="5"/>
      <c r="SB226" s="5"/>
      <c r="SC226" s="5"/>
      <c r="SD226" s="5"/>
      <c r="SE226" s="5"/>
      <c r="SF226" s="5"/>
      <c r="SG226" s="5"/>
      <c r="SH226" s="5"/>
      <c r="SI226" s="5"/>
      <c r="SJ226" s="5"/>
      <c r="SK226" s="5"/>
      <c r="SL226" s="5"/>
      <c r="SM226" s="5"/>
      <c r="SN226" s="5"/>
      <c r="SO226" s="5"/>
      <c r="SP226" s="5"/>
      <c r="SQ226" s="5"/>
      <c r="SR226" s="5"/>
      <c r="SS226" s="5"/>
      <c r="ST226" s="5"/>
      <c r="SU226" s="5"/>
      <c r="SV226" s="5"/>
      <c r="SW226" s="5"/>
      <c r="SX226" s="5"/>
      <c r="SY226" s="5"/>
      <c r="SZ226" s="5"/>
      <c r="TA226" s="5"/>
      <c r="TB226" s="5"/>
      <c r="TC226" s="5"/>
      <c r="TD226" s="5"/>
      <c r="TE226" s="5"/>
      <c r="TF226" s="5"/>
      <c r="TG226" s="5"/>
      <c r="TH226" s="5"/>
      <c r="TI226" s="5"/>
      <c r="TJ226" s="5"/>
      <c r="TK226" s="5"/>
      <c r="TL226" s="5"/>
      <c r="TM226" s="5"/>
      <c r="TN226" s="5"/>
      <c r="TO226" s="5"/>
      <c r="TP226" s="5"/>
      <c r="TQ226" s="5"/>
      <c r="TR226" s="5"/>
      <c r="TS226" s="5"/>
      <c r="TT226" s="5"/>
      <c r="TU226" s="5"/>
      <c r="TV226" s="5"/>
      <c r="TW226" s="5"/>
      <c r="TX226" s="5"/>
      <c r="TY226" s="5"/>
      <c r="TZ226" s="5"/>
      <c r="UA226" s="5"/>
      <c r="UB226" s="5"/>
      <c r="UC226" s="5"/>
      <c r="UD226" s="5"/>
      <c r="UE226" s="5"/>
      <c r="UF226" s="5"/>
      <c r="UG226" s="5"/>
      <c r="UH226" s="5"/>
      <c r="UI226" s="5"/>
      <c r="UJ226" s="5"/>
      <c r="UK226" s="5"/>
      <c r="UL226" s="5"/>
      <c r="UM226" s="5"/>
      <c r="UN226" s="5"/>
      <c r="UO226" s="5"/>
      <c r="UP226" s="5"/>
      <c r="UQ226" s="5"/>
      <c r="UR226" s="5"/>
      <c r="US226" s="5"/>
      <c r="UT226" s="5"/>
      <c r="UU226" s="5"/>
      <c r="UV226" s="5"/>
      <c r="UW226" s="5"/>
      <c r="UX226" s="5"/>
      <c r="UY226" s="5"/>
      <c r="UZ226" s="5"/>
      <c r="VA226" s="5"/>
      <c r="VB226" s="5"/>
      <c r="VC226" s="5"/>
      <c r="VD226" s="5"/>
      <c r="VE226" s="5"/>
      <c r="VF226" s="5"/>
      <c r="VG226" s="5"/>
      <c r="VH226" s="5"/>
      <c r="VI226" s="5"/>
      <c r="VJ226" s="5"/>
      <c r="VK226" s="5"/>
      <c r="VL226" s="5"/>
      <c r="VM226" s="5"/>
      <c r="VN226" s="5"/>
      <c r="VO226" s="5"/>
      <c r="VP226" s="5"/>
      <c r="VQ226" s="5"/>
      <c r="VR226" s="5"/>
      <c r="VS226" s="5"/>
      <c r="VT226" s="5"/>
    </row>
    <row r="227" spans="1:592" s="36" customFormat="1" ht="63" x14ac:dyDescent="0.2">
      <c r="A227" s="10" t="s">
        <v>455</v>
      </c>
      <c r="B227" s="15" t="s">
        <v>456</v>
      </c>
      <c r="C227" s="11" t="s">
        <v>324</v>
      </c>
      <c r="D227" s="11">
        <v>3949768</v>
      </c>
      <c r="E227" s="225" t="s">
        <v>325</v>
      </c>
      <c r="F227" s="192" t="s">
        <v>300</v>
      </c>
      <c r="G227" s="201">
        <f>IFERROR(VLOOKUP(D227,List1!$A$5:$B$227,2,FALSE),"0")</f>
        <v>1910000</v>
      </c>
      <c r="H227" s="41" t="str">
        <f>IFERROR(VLOOKUP(D227,List1!$D$5:$E$41,2,FALSE),"0")</f>
        <v>0</v>
      </c>
      <c r="I227" s="41">
        <f>IFERROR(VLOOKUP(D227,List1!$G$5:$H$227,2,FALSE),"0")</f>
        <v>169130</v>
      </c>
      <c r="J227" s="40">
        <f t="shared" si="26"/>
        <v>2079130</v>
      </c>
      <c r="K227" s="41" t="str">
        <f>IFERROR(VLOOKUP(D227,List1!$J$5:$K$227,2,FALSE),"0")</f>
        <v>0</v>
      </c>
      <c r="L227" s="41">
        <f>IFERROR(VLOOKUP(D227,List1!$M$5:$N$112,2,FALSE),"0")</f>
        <v>55000</v>
      </c>
      <c r="M227" s="43">
        <v>0</v>
      </c>
      <c r="N227" s="80">
        <f>VLOOKUP($D$5:$D$251,List2!$A$2:$B$241,2,FALSE)</f>
        <v>19800</v>
      </c>
      <c r="O227" s="80">
        <f>IFERROR(VLOOKUP($D$5:$D$260,List1!$Y$5:$Z$244,2,FALSE),0)</f>
        <v>0</v>
      </c>
      <c r="P227" s="202">
        <f>IFERROR(VLOOKUP($D$5:$D$260,List1!$AB$5:$AC$244,2,FALSE),0)</f>
        <v>0</v>
      </c>
      <c r="Q227" s="201">
        <f>IFERROR(VLOOKUP($D$5:$D$260,List1!$S$5:$T$231,2,FALSE),0)</f>
        <v>2003794</v>
      </c>
      <c r="R227" s="41">
        <v>0</v>
      </c>
      <c r="S227" s="41">
        <f>IFERROR(VLOOKUP($D$5:$D$260,List1!$AE$5:$AF$231,2,FALSE),0)</f>
        <v>400000</v>
      </c>
      <c r="T227" s="41">
        <f t="shared" si="27"/>
        <v>2403794</v>
      </c>
      <c r="U227" s="41" t="str">
        <f>IFERROR(VLOOKUP(D227,List1!$P$5:$Q$110,2,FALSE),"0")</f>
        <v>0</v>
      </c>
      <c r="V227" s="41">
        <v>0</v>
      </c>
      <c r="W227" s="248">
        <v>0</v>
      </c>
      <c r="X227" s="211">
        <f t="shared" si="28"/>
        <v>2403794</v>
      </c>
      <c r="Y227" s="219"/>
      <c r="Z227" s="80">
        <f>IFERROR(VLOOKUP($D$5:$D$260,#REF!,3,FALSE),0)</f>
        <v>0</v>
      </c>
      <c r="AA227" s="80">
        <f>IFERROR(VLOOKUP($D$5:$D$260,#REF!,3,FALSE),0)</f>
        <v>0</v>
      </c>
      <c r="AB227" s="243">
        <v>0</v>
      </c>
      <c r="AC227" s="202">
        <f t="shared" si="29"/>
        <v>0</v>
      </c>
      <c r="AD227" s="259">
        <f t="shared" si="30"/>
        <v>0</v>
      </c>
      <c r="AE227" s="260">
        <f t="shared" si="31"/>
        <v>0</v>
      </c>
      <c r="AF227" s="260">
        <f t="shared" si="32"/>
        <v>0</v>
      </c>
      <c r="AG227" s="260">
        <f t="shared" si="33"/>
        <v>0</v>
      </c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  <c r="IX227" s="5"/>
      <c r="IY227" s="5"/>
      <c r="IZ227" s="5"/>
      <c r="JA227" s="5"/>
      <c r="JB227" s="5"/>
      <c r="JC227" s="5"/>
      <c r="JD227" s="5"/>
      <c r="JE227" s="5"/>
      <c r="JF227" s="5"/>
      <c r="JG227" s="5"/>
      <c r="JH227" s="5"/>
      <c r="JI227" s="5"/>
      <c r="JJ227" s="5"/>
      <c r="JK227" s="5"/>
      <c r="JL227" s="5"/>
      <c r="JM227" s="5"/>
      <c r="JN227" s="5"/>
      <c r="JO227" s="5"/>
      <c r="JP227" s="5"/>
      <c r="JQ227" s="5"/>
      <c r="JR227" s="5"/>
      <c r="JS227" s="5"/>
      <c r="JT227" s="5"/>
      <c r="JU227" s="5"/>
      <c r="JV227" s="5"/>
      <c r="JW227" s="5"/>
      <c r="JX227" s="5"/>
      <c r="JY227" s="5"/>
      <c r="JZ227" s="5"/>
      <c r="KA227" s="5"/>
      <c r="KB227" s="5"/>
      <c r="KC227" s="5"/>
      <c r="KD227" s="5"/>
      <c r="KE227" s="5"/>
      <c r="KF227" s="5"/>
      <c r="KG227" s="5"/>
      <c r="KH227" s="5"/>
      <c r="KI227" s="5"/>
      <c r="KJ227" s="5"/>
      <c r="KK227" s="5"/>
      <c r="KL227" s="5"/>
      <c r="KM227" s="5"/>
      <c r="KN227" s="5"/>
      <c r="KO227" s="5"/>
      <c r="KP227" s="5"/>
      <c r="KQ227" s="5"/>
      <c r="KR227" s="5"/>
      <c r="KS227" s="5"/>
      <c r="KT227" s="5"/>
      <c r="KU227" s="5"/>
      <c r="KV227" s="5"/>
      <c r="KW227" s="5"/>
      <c r="KX227" s="5"/>
      <c r="KY227" s="5"/>
      <c r="KZ227" s="5"/>
      <c r="LA227" s="5"/>
      <c r="LB227" s="5"/>
      <c r="LC227" s="5"/>
      <c r="LD227" s="5"/>
      <c r="LE227" s="5"/>
      <c r="LF227" s="5"/>
      <c r="LG227" s="5"/>
      <c r="LH227" s="5"/>
      <c r="LI227" s="5"/>
      <c r="LJ227" s="5"/>
      <c r="LK227" s="5"/>
      <c r="LL227" s="5"/>
      <c r="LM227" s="5"/>
      <c r="LN227" s="5"/>
      <c r="LO227" s="5"/>
      <c r="LP227" s="5"/>
      <c r="LQ227" s="5"/>
      <c r="LR227" s="5"/>
      <c r="LS227" s="5"/>
      <c r="LT227" s="5"/>
      <c r="LU227" s="5"/>
      <c r="LV227" s="5"/>
      <c r="LW227" s="5"/>
      <c r="LX227" s="5"/>
      <c r="LY227" s="5"/>
      <c r="LZ227" s="5"/>
      <c r="MA227" s="5"/>
      <c r="MB227" s="5"/>
      <c r="MC227" s="5"/>
      <c r="MD227" s="5"/>
      <c r="ME227" s="5"/>
      <c r="MF227" s="5"/>
      <c r="MG227" s="5"/>
      <c r="MH227" s="5"/>
      <c r="MI227" s="5"/>
      <c r="MJ227" s="5"/>
      <c r="MK227" s="5"/>
      <c r="ML227" s="5"/>
      <c r="MM227" s="5"/>
      <c r="MN227" s="5"/>
      <c r="MO227" s="5"/>
      <c r="MP227" s="5"/>
      <c r="MQ227" s="5"/>
      <c r="MR227" s="5"/>
      <c r="MS227" s="5"/>
      <c r="MT227" s="5"/>
      <c r="MU227" s="5"/>
      <c r="MV227" s="5"/>
      <c r="MW227" s="5"/>
      <c r="MX227" s="5"/>
      <c r="MY227" s="5"/>
      <c r="MZ227" s="5"/>
      <c r="NA227" s="5"/>
      <c r="NB227" s="5"/>
      <c r="NC227" s="5"/>
      <c r="ND227" s="5"/>
      <c r="NE227" s="5"/>
      <c r="NF227" s="5"/>
      <c r="NG227" s="5"/>
      <c r="NH227" s="5"/>
      <c r="NI227" s="5"/>
      <c r="NJ227" s="5"/>
      <c r="NK227" s="5"/>
      <c r="NL227" s="5"/>
      <c r="NM227" s="5"/>
      <c r="NN227" s="5"/>
      <c r="NO227" s="5"/>
      <c r="NP227" s="5"/>
      <c r="NQ227" s="5"/>
      <c r="NR227" s="5"/>
      <c r="NS227" s="5"/>
      <c r="NT227" s="5"/>
      <c r="NU227" s="5"/>
      <c r="NV227" s="5"/>
      <c r="NW227" s="5"/>
      <c r="NX227" s="5"/>
      <c r="NY227" s="5"/>
      <c r="NZ227" s="5"/>
      <c r="OA227" s="5"/>
      <c r="OB227" s="5"/>
      <c r="OC227" s="5"/>
      <c r="OD227" s="5"/>
      <c r="OE227" s="5"/>
      <c r="OF227" s="5"/>
      <c r="OG227" s="5"/>
      <c r="OH227" s="5"/>
      <c r="OI227" s="5"/>
      <c r="OJ227" s="5"/>
      <c r="OK227" s="5"/>
      <c r="OL227" s="5"/>
      <c r="OM227" s="5"/>
      <c r="ON227" s="5"/>
      <c r="OO227" s="5"/>
      <c r="OP227" s="5"/>
      <c r="OQ227" s="5"/>
      <c r="OR227" s="5"/>
      <c r="OS227" s="5"/>
      <c r="OT227" s="5"/>
      <c r="OU227" s="5"/>
      <c r="OV227" s="5"/>
      <c r="OW227" s="5"/>
      <c r="OX227" s="5"/>
      <c r="OY227" s="5"/>
      <c r="OZ227" s="5"/>
      <c r="PA227" s="5"/>
      <c r="PB227" s="5"/>
      <c r="PC227" s="5"/>
      <c r="PD227" s="5"/>
      <c r="PE227" s="5"/>
      <c r="PF227" s="5"/>
      <c r="PG227" s="5"/>
      <c r="PH227" s="5"/>
      <c r="PI227" s="5"/>
      <c r="PJ227" s="5"/>
      <c r="PK227" s="5"/>
      <c r="PL227" s="5"/>
      <c r="PM227" s="5"/>
      <c r="PN227" s="5"/>
      <c r="PO227" s="5"/>
      <c r="PP227" s="5"/>
      <c r="PQ227" s="5"/>
      <c r="PR227" s="5"/>
      <c r="PS227" s="5"/>
      <c r="PT227" s="5"/>
      <c r="PU227" s="5"/>
      <c r="PV227" s="5"/>
      <c r="PW227" s="5"/>
      <c r="PX227" s="5"/>
      <c r="PY227" s="5"/>
      <c r="PZ227" s="5"/>
      <c r="QA227" s="5"/>
      <c r="QB227" s="5"/>
      <c r="QC227" s="5"/>
      <c r="QD227" s="5"/>
      <c r="QE227" s="5"/>
      <c r="QF227" s="5"/>
      <c r="QG227" s="5"/>
      <c r="QH227" s="5"/>
      <c r="QI227" s="5"/>
      <c r="QJ227" s="5"/>
      <c r="QK227" s="5"/>
      <c r="QL227" s="5"/>
      <c r="QM227" s="5"/>
      <c r="QN227" s="5"/>
      <c r="QO227" s="5"/>
      <c r="QP227" s="5"/>
      <c r="QQ227" s="5"/>
      <c r="QR227" s="5"/>
      <c r="QS227" s="5"/>
      <c r="QT227" s="5"/>
      <c r="QU227" s="5"/>
      <c r="QV227" s="5"/>
      <c r="QW227" s="5"/>
      <c r="QX227" s="5"/>
      <c r="QY227" s="5"/>
      <c r="QZ227" s="5"/>
      <c r="RA227" s="5"/>
      <c r="RB227" s="5"/>
      <c r="RC227" s="5"/>
      <c r="RD227" s="5"/>
      <c r="RE227" s="5"/>
      <c r="RF227" s="5"/>
      <c r="RG227" s="5"/>
      <c r="RH227" s="5"/>
      <c r="RI227" s="5"/>
      <c r="RJ227" s="5"/>
      <c r="RK227" s="5"/>
      <c r="RL227" s="5"/>
      <c r="RM227" s="5"/>
      <c r="RN227" s="5"/>
      <c r="RO227" s="5"/>
      <c r="RP227" s="5"/>
      <c r="RQ227" s="5"/>
      <c r="RR227" s="5"/>
      <c r="RS227" s="5"/>
      <c r="RT227" s="5"/>
      <c r="RU227" s="5"/>
      <c r="RV227" s="5"/>
      <c r="RW227" s="5"/>
      <c r="RX227" s="5"/>
      <c r="RY227" s="5"/>
      <c r="RZ227" s="5"/>
      <c r="SA227" s="5"/>
      <c r="SB227" s="5"/>
      <c r="SC227" s="5"/>
      <c r="SD227" s="5"/>
      <c r="SE227" s="5"/>
      <c r="SF227" s="5"/>
      <c r="SG227" s="5"/>
      <c r="SH227" s="5"/>
      <c r="SI227" s="5"/>
      <c r="SJ227" s="5"/>
      <c r="SK227" s="5"/>
      <c r="SL227" s="5"/>
      <c r="SM227" s="5"/>
      <c r="SN227" s="5"/>
      <c r="SO227" s="5"/>
      <c r="SP227" s="5"/>
      <c r="SQ227" s="5"/>
      <c r="SR227" s="5"/>
      <c r="SS227" s="5"/>
      <c r="ST227" s="5"/>
      <c r="SU227" s="5"/>
      <c r="SV227" s="5"/>
      <c r="SW227" s="5"/>
      <c r="SX227" s="5"/>
      <c r="SY227" s="5"/>
      <c r="SZ227" s="5"/>
      <c r="TA227" s="5"/>
      <c r="TB227" s="5"/>
      <c r="TC227" s="5"/>
      <c r="TD227" s="5"/>
      <c r="TE227" s="5"/>
      <c r="TF227" s="5"/>
      <c r="TG227" s="5"/>
      <c r="TH227" s="5"/>
      <c r="TI227" s="5"/>
      <c r="TJ227" s="5"/>
      <c r="TK227" s="5"/>
      <c r="TL227" s="5"/>
      <c r="TM227" s="5"/>
      <c r="TN227" s="5"/>
      <c r="TO227" s="5"/>
      <c r="TP227" s="5"/>
      <c r="TQ227" s="5"/>
      <c r="TR227" s="5"/>
      <c r="TS227" s="5"/>
      <c r="TT227" s="5"/>
      <c r="TU227" s="5"/>
      <c r="TV227" s="5"/>
      <c r="TW227" s="5"/>
      <c r="TX227" s="5"/>
      <c r="TY227" s="5"/>
      <c r="TZ227" s="5"/>
      <c r="UA227" s="5"/>
      <c r="UB227" s="5"/>
      <c r="UC227" s="5"/>
      <c r="UD227" s="5"/>
      <c r="UE227" s="5"/>
      <c r="UF227" s="5"/>
      <c r="UG227" s="5"/>
      <c r="UH227" s="5"/>
      <c r="UI227" s="5"/>
      <c r="UJ227" s="5"/>
      <c r="UK227" s="5"/>
      <c r="UL227" s="5"/>
      <c r="UM227" s="5"/>
      <c r="UN227" s="5"/>
      <c r="UO227" s="5"/>
      <c r="UP227" s="5"/>
      <c r="UQ227" s="5"/>
      <c r="UR227" s="5"/>
      <c r="US227" s="5"/>
      <c r="UT227" s="5"/>
      <c r="UU227" s="5"/>
      <c r="UV227" s="5"/>
      <c r="UW227" s="5"/>
      <c r="UX227" s="5"/>
      <c r="UY227" s="5"/>
      <c r="UZ227" s="5"/>
      <c r="VA227" s="5"/>
      <c r="VB227" s="5"/>
      <c r="VC227" s="5"/>
      <c r="VD227" s="5"/>
      <c r="VE227" s="5"/>
      <c r="VF227" s="5"/>
      <c r="VG227" s="5"/>
      <c r="VH227" s="5"/>
      <c r="VI227" s="5"/>
      <c r="VJ227" s="5"/>
      <c r="VK227" s="5"/>
      <c r="VL227" s="5"/>
      <c r="VM227" s="5"/>
      <c r="VN227" s="5"/>
      <c r="VO227" s="5"/>
      <c r="VP227" s="5"/>
      <c r="VQ227" s="5"/>
      <c r="VR227" s="5"/>
      <c r="VS227" s="5"/>
      <c r="VT227" s="5"/>
    </row>
    <row r="228" spans="1:592" s="36" customFormat="1" ht="63" x14ac:dyDescent="0.2">
      <c r="A228" s="10" t="s">
        <v>455</v>
      </c>
      <c r="B228" s="15" t="s">
        <v>456</v>
      </c>
      <c r="C228" s="11" t="s">
        <v>324</v>
      </c>
      <c r="D228" s="11">
        <v>2446668</v>
      </c>
      <c r="E228" s="225" t="s">
        <v>283</v>
      </c>
      <c r="F228" s="192" t="s">
        <v>278</v>
      </c>
      <c r="G228" s="201" t="str">
        <f>IFERROR(VLOOKUP(D228,List1!$A$5:$B$227,2,FALSE),"0")</f>
        <v>0</v>
      </c>
      <c r="H228" s="41" t="str">
        <f>IFERROR(VLOOKUP(D228,List1!$D$5:$E$41,2,FALSE),"0")</f>
        <v>0</v>
      </c>
      <c r="I228" s="41" t="str">
        <f>IFERROR(VLOOKUP(D228,List1!$G$5:$H$227,2,FALSE),"0")</f>
        <v>0</v>
      </c>
      <c r="J228" s="40">
        <f t="shared" si="26"/>
        <v>0</v>
      </c>
      <c r="K228" s="41" t="str">
        <f>IFERROR(VLOOKUP(D228,List1!$J$5:$K$227,2,FALSE),"0")</f>
        <v>0</v>
      </c>
      <c r="L228" s="41" t="str">
        <f>IFERROR(VLOOKUP(D228,List1!$M$5:$N$112,2,FALSE),"0")</f>
        <v>0</v>
      </c>
      <c r="M228" s="43">
        <v>0</v>
      </c>
      <c r="N228" s="80">
        <f>VLOOKUP($D$5:$D$251,List2!$A$2:$B$241,2,FALSE)</f>
        <v>0</v>
      </c>
      <c r="O228" s="80">
        <f>IFERROR(VLOOKUP($D$5:$D$260,List1!$Y$5:$Z$244,2,FALSE),0)</f>
        <v>0</v>
      </c>
      <c r="P228" s="202">
        <f>IFERROR(VLOOKUP($D$5:$D$260,List1!$AB$5:$AC$244,2,FALSE),0)</f>
        <v>0</v>
      </c>
      <c r="Q228" s="201">
        <f>IFERROR(VLOOKUP($D$5:$D$260,List1!$S$5:$T$231,2,FALSE),0)</f>
        <v>0</v>
      </c>
      <c r="R228" s="41">
        <v>0</v>
      </c>
      <c r="S228" s="41">
        <f>IFERROR(VLOOKUP($D$5:$D$260,List1!$AE$5:$AF$231,2,FALSE),0)</f>
        <v>0</v>
      </c>
      <c r="T228" s="41">
        <f t="shared" si="27"/>
        <v>0</v>
      </c>
      <c r="U228" s="41" t="str">
        <f>IFERROR(VLOOKUP(D228,List1!$P$5:$Q$110,2,FALSE),"0")</f>
        <v>0</v>
      </c>
      <c r="V228" s="41">
        <v>0</v>
      </c>
      <c r="W228" s="248">
        <v>0</v>
      </c>
      <c r="X228" s="211">
        <f t="shared" si="28"/>
        <v>0</v>
      </c>
      <c r="Y228" s="219"/>
      <c r="Z228" s="80">
        <f>IFERROR(VLOOKUP($D$5:$D$260,#REF!,3,FALSE),0)</f>
        <v>0</v>
      </c>
      <c r="AA228" s="80">
        <f>IFERROR(VLOOKUP($D$5:$D$260,#REF!,3,FALSE),0)</f>
        <v>0</v>
      </c>
      <c r="AB228" s="243">
        <v>0</v>
      </c>
      <c r="AC228" s="202">
        <f t="shared" si="29"/>
        <v>0</v>
      </c>
      <c r="AD228" s="259">
        <f t="shared" si="30"/>
        <v>0</v>
      </c>
      <c r="AE228" s="260">
        <f t="shared" si="31"/>
        <v>0</v>
      </c>
      <c r="AF228" s="260">
        <f t="shared" si="32"/>
        <v>0</v>
      </c>
      <c r="AG228" s="260">
        <f t="shared" si="33"/>
        <v>0</v>
      </c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  <c r="IX228" s="5"/>
      <c r="IY228" s="5"/>
      <c r="IZ228" s="5"/>
      <c r="JA228" s="5"/>
      <c r="JB228" s="5"/>
      <c r="JC228" s="5"/>
      <c r="JD228" s="5"/>
      <c r="JE228" s="5"/>
      <c r="JF228" s="5"/>
      <c r="JG228" s="5"/>
      <c r="JH228" s="5"/>
      <c r="JI228" s="5"/>
      <c r="JJ228" s="5"/>
      <c r="JK228" s="5"/>
      <c r="JL228" s="5"/>
      <c r="JM228" s="5"/>
      <c r="JN228" s="5"/>
      <c r="JO228" s="5"/>
      <c r="JP228" s="5"/>
      <c r="JQ228" s="5"/>
      <c r="JR228" s="5"/>
      <c r="JS228" s="5"/>
      <c r="JT228" s="5"/>
      <c r="JU228" s="5"/>
      <c r="JV228" s="5"/>
      <c r="JW228" s="5"/>
      <c r="JX228" s="5"/>
      <c r="JY228" s="5"/>
      <c r="JZ228" s="5"/>
      <c r="KA228" s="5"/>
      <c r="KB228" s="5"/>
      <c r="KC228" s="5"/>
      <c r="KD228" s="5"/>
      <c r="KE228" s="5"/>
      <c r="KF228" s="5"/>
      <c r="KG228" s="5"/>
      <c r="KH228" s="5"/>
      <c r="KI228" s="5"/>
      <c r="KJ228" s="5"/>
      <c r="KK228" s="5"/>
      <c r="KL228" s="5"/>
      <c r="KM228" s="5"/>
      <c r="KN228" s="5"/>
      <c r="KO228" s="5"/>
      <c r="KP228" s="5"/>
      <c r="KQ228" s="5"/>
      <c r="KR228" s="5"/>
      <c r="KS228" s="5"/>
      <c r="KT228" s="5"/>
      <c r="KU228" s="5"/>
      <c r="KV228" s="5"/>
      <c r="KW228" s="5"/>
      <c r="KX228" s="5"/>
      <c r="KY228" s="5"/>
      <c r="KZ228" s="5"/>
      <c r="LA228" s="5"/>
      <c r="LB228" s="5"/>
      <c r="LC228" s="5"/>
      <c r="LD228" s="5"/>
      <c r="LE228" s="5"/>
      <c r="LF228" s="5"/>
      <c r="LG228" s="5"/>
      <c r="LH228" s="5"/>
      <c r="LI228" s="5"/>
      <c r="LJ228" s="5"/>
      <c r="LK228" s="5"/>
      <c r="LL228" s="5"/>
      <c r="LM228" s="5"/>
      <c r="LN228" s="5"/>
      <c r="LO228" s="5"/>
      <c r="LP228" s="5"/>
      <c r="LQ228" s="5"/>
      <c r="LR228" s="5"/>
      <c r="LS228" s="5"/>
      <c r="LT228" s="5"/>
      <c r="LU228" s="5"/>
      <c r="LV228" s="5"/>
      <c r="LW228" s="5"/>
      <c r="LX228" s="5"/>
      <c r="LY228" s="5"/>
      <c r="LZ228" s="5"/>
      <c r="MA228" s="5"/>
      <c r="MB228" s="5"/>
      <c r="MC228" s="5"/>
      <c r="MD228" s="5"/>
      <c r="ME228" s="5"/>
      <c r="MF228" s="5"/>
      <c r="MG228" s="5"/>
      <c r="MH228" s="5"/>
      <c r="MI228" s="5"/>
      <c r="MJ228" s="5"/>
      <c r="MK228" s="5"/>
      <c r="ML228" s="5"/>
      <c r="MM228" s="5"/>
      <c r="MN228" s="5"/>
      <c r="MO228" s="5"/>
      <c r="MP228" s="5"/>
      <c r="MQ228" s="5"/>
      <c r="MR228" s="5"/>
      <c r="MS228" s="5"/>
      <c r="MT228" s="5"/>
      <c r="MU228" s="5"/>
      <c r="MV228" s="5"/>
      <c r="MW228" s="5"/>
      <c r="MX228" s="5"/>
      <c r="MY228" s="5"/>
      <c r="MZ228" s="5"/>
      <c r="NA228" s="5"/>
      <c r="NB228" s="5"/>
      <c r="NC228" s="5"/>
      <c r="ND228" s="5"/>
      <c r="NE228" s="5"/>
      <c r="NF228" s="5"/>
      <c r="NG228" s="5"/>
      <c r="NH228" s="5"/>
      <c r="NI228" s="5"/>
      <c r="NJ228" s="5"/>
      <c r="NK228" s="5"/>
      <c r="NL228" s="5"/>
      <c r="NM228" s="5"/>
      <c r="NN228" s="5"/>
      <c r="NO228" s="5"/>
      <c r="NP228" s="5"/>
      <c r="NQ228" s="5"/>
      <c r="NR228" s="5"/>
      <c r="NS228" s="5"/>
      <c r="NT228" s="5"/>
      <c r="NU228" s="5"/>
      <c r="NV228" s="5"/>
      <c r="NW228" s="5"/>
      <c r="NX228" s="5"/>
      <c r="NY228" s="5"/>
      <c r="NZ228" s="5"/>
      <c r="OA228" s="5"/>
      <c r="OB228" s="5"/>
      <c r="OC228" s="5"/>
      <c r="OD228" s="5"/>
      <c r="OE228" s="5"/>
      <c r="OF228" s="5"/>
      <c r="OG228" s="5"/>
      <c r="OH228" s="5"/>
      <c r="OI228" s="5"/>
      <c r="OJ228" s="5"/>
      <c r="OK228" s="5"/>
      <c r="OL228" s="5"/>
      <c r="OM228" s="5"/>
      <c r="ON228" s="5"/>
      <c r="OO228" s="5"/>
      <c r="OP228" s="5"/>
      <c r="OQ228" s="5"/>
      <c r="OR228" s="5"/>
      <c r="OS228" s="5"/>
      <c r="OT228" s="5"/>
      <c r="OU228" s="5"/>
      <c r="OV228" s="5"/>
      <c r="OW228" s="5"/>
      <c r="OX228" s="5"/>
      <c r="OY228" s="5"/>
      <c r="OZ228" s="5"/>
      <c r="PA228" s="5"/>
      <c r="PB228" s="5"/>
      <c r="PC228" s="5"/>
      <c r="PD228" s="5"/>
      <c r="PE228" s="5"/>
      <c r="PF228" s="5"/>
      <c r="PG228" s="5"/>
      <c r="PH228" s="5"/>
      <c r="PI228" s="5"/>
      <c r="PJ228" s="5"/>
      <c r="PK228" s="5"/>
      <c r="PL228" s="5"/>
      <c r="PM228" s="5"/>
      <c r="PN228" s="5"/>
      <c r="PO228" s="5"/>
      <c r="PP228" s="5"/>
      <c r="PQ228" s="5"/>
      <c r="PR228" s="5"/>
      <c r="PS228" s="5"/>
      <c r="PT228" s="5"/>
      <c r="PU228" s="5"/>
      <c r="PV228" s="5"/>
      <c r="PW228" s="5"/>
      <c r="PX228" s="5"/>
      <c r="PY228" s="5"/>
      <c r="PZ228" s="5"/>
      <c r="QA228" s="5"/>
      <c r="QB228" s="5"/>
      <c r="QC228" s="5"/>
      <c r="QD228" s="5"/>
      <c r="QE228" s="5"/>
      <c r="QF228" s="5"/>
      <c r="QG228" s="5"/>
      <c r="QH228" s="5"/>
      <c r="QI228" s="5"/>
      <c r="QJ228" s="5"/>
      <c r="QK228" s="5"/>
      <c r="QL228" s="5"/>
      <c r="QM228" s="5"/>
      <c r="QN228" s="5"/>
      <c r="QO228" s="5"/>
      <c r="QP228" s="5"/>
      <c r="QQ228" s="5"/>
      <c r="QR228" s="5"/>
      <c r="QS228" s="5"/>
      <c r="QT228" s="5"/>
      <c r="QU228" s="5"/>
      <c r="QV228" s="5"/>
      <c r="QW228" s="5"/>
      <c r="QX228" s="5"/>
      <c r="QY228" s="5"/>
      <c r="QZ228" s="5"/>
      <c r="RA228" s="5"/>
      <c r="RB228" s="5"/>
      <c r="RC228" s="5"/>
      <c r="RD228" s="5"/>
      <c r="RE228" s="5"/>
      <c r="RF228" s="5"/>
      <c r="RG228" s="5"/>
      <c r="RH228" s="5"/>
      <c r="RI228" s="5"/>
      <c r="RJ228" s="5"/>
      <c r="RK228" s="5"/>
      <c r="RL228" s="5"/>
      <c r="RM228" s="5"/>
      <c r="RN228" s="5"/>
      <c r="RO228" s="5"/>
      <c r="RP228" s="5"/>
      <c r="RQ228" s="5"/>
      <c r="RR228" s="5"/>
      <c r="RS228" s="5"/>
      <c r="RT228" s="5"/>
      <c r="RU228" s="5"/>
      <c r="RV228" s="5"/>
      <c r="RW228" s="5"/>
      <c r="RX228" s="5"/>
      <c r="RY228" s="5"/>
      <c r="RZ228" s="5"/>
      <c r="SA228" s="5"/>
      <c r="SB228" s="5"/>
      <c r="SC228" s="5"/>
      <c r="SD228" s="5"/>
      <c r="SE228" s="5"/>
      <c r="SF228" s="5"/>
      <c r="SG228" s="5"/>
      <c r="SH228" s="5"/>
      <c r="SI228" s="5"/>
      <c r="SJ228" s="5"/>
      <c r="SK228" s="5"/>
      <c r="SL228" s="5"/>
      <c r="SM228" s="5"/>
      <c r="SN228" s="5"/>
      <c r="SO228" s="5"/>
      <c r="SP228" s="5"/>
      <c r="SQ228" s="5"/>
      <c r="SR228" s="5"/>
      <c r="SS228" s="5"/>
      <c r="ST228" s="5"/>
      <c r="SU228" s="5"/>
      <c r="SV228" s="5"/>
      <c r="SW228" s="5"/>
      <c r="SX228" s="5"/>
      <c r="SY228" s="5"/>
      <c r="SZ228" s="5"/>
      <c r="TA228" s="5"/>
      <c r="TB228" s="5"/>
      <c r="TC228" s="5"/>
      <c r="TD228" s="5"/>
      <c r="TE228" s="5"/>
      <c r="TF228" s="5"/>
      <c r="TG228" s="5"/>
      <c r="TH228" s="5"/>
      <c r="TI228" s="5"/>
      <c r="TJ228" s="5"/>
      <c r="TK228" s="5"/>
      <c r="TL228" s="5"/>
      <c r="TM228" s="5"/>
      <c r="TN228" s="5"/>
      <c r="TO228" s="5"/>
      <c r="TP228" s="5"/>
      <c r="TQ228" s="5"/>
      <c r="TR228" s="5"/>
      <c r="TS228" s="5"/>
      <c r="TT228" s="5"/>
      <c r="TU228" s="5"/>
      <c r="TV228" s="5"/>
      <c r="TW228" s="5"/>
      <c r="TX228" s="5"/>
      <c r="TY228" s="5"/>
      <c r="TZ228" s="5"/>
      <c r="UA228" s="5"/>
      <c r="UB228" s="5"/>
      <c r="UC228" s="5"/>
      <c r="UD228" s="5"/>
      <c r="UE228" s="5"/>
      <c r="UF228" s="5"/>
      <c r="UG228" s="5"/>
      <c r="UH228" s="5"/>
      <c r="UI228" s="5"/>
      <c r="UJ228" s="5"/>
      <c r="UK228" s="5"/>
      <c r="UL228" s="5"/>
      <c r="UM228" s="5"/>
      <c r="UN228" s="5"/>
      <c r="UO228" s="5"/>
      <c r="UP228" s="5"/>
      <c r="UQ228" s="5"/>
      <c r="UR228" s="5"/>
      <c r="US228" s="5"/>
      <c r="UT228" s="5"/>
      <c r="UU228" s="5"/>
      <c r="UV228" s="5"/>
      <c r="UW228" s="5"/>
      <c r="UX228" s="5"/>
      <c r="UY228" s="5"/>
      <c r="UZ228" s="5"/>
      <c r="VA228" s="5"/>
      <c r="VB228" s="5"/>
      <c r="VC228" s="5"/>
      <c r="VD228" s="5"/>
      <c r="VE228" s="5"/>
      <c r="VF228" s="5"/>
      <c r="VG228" s="5"/>
      <c r="VH228" s="5"/>
      <c r="VI228" s="5"/>
      <c r="VJ228" s="5"/>
      <c r="VK228" s="5"/>
      <c r="VL228" s="5"/>
      <c r="VM228" s="5"/>
      <c r="VN228" s="5"/>
      <c r="VO228" s="5"/>
      <c r="VP228" s="5"/>
      <c r="VQ228" s="5"/>
      <c r="VR228" s="5"/>
      <c r="VS228" s="5"/>
      <c r="VT228" s="5"/>
    </row>
    <row r="229" spans="1:592" s="32" customFormat="1" ht="63" x14ac:dyDescent="0.2">
      <c r="A229" s="10" t="s">
        <v>455</v>
      </c>
      <c r="B229" s="15" t="s">
        <v>456</v>
      </c>
      <c r="C229" s="11" t="s">
        <v>324</v>
      </c>
      <c r="D229" s="11">
        <v>3732526</v>
      </c>
      <c r="E229" s="225" t="s">
        <v>285</v>
      </c>
      <c r="F229" s="192" t="s">
        <v>278</v>
      </c>
      <c r="G229" s="201">
        <f>IFERROR(VLOOKUP(D229,List1!$A$5:$B$227,2,FALSE),"0")</f>
        <v>8881000</v>
      </c>
      <c r="H229" s="41" t="str">
        <f>IFERROR(VLOOKUP(D229,List1!$D$5:$E$41,2,FALSE),"0")</f>
        <v>0</v>
      </c>
      <c r="I229" s="41">
        <f>IFERROR(VLOOKUP(D229,List1!$G$5:$H$227,2,FALSE),"0")</f>
        <v>1641397</v>
      </c>
      <c r="J229" s="40">
        <f t="shared" si="26"/>
        <v>10522397</v>
      </c>
      <c r="K229" s="41" t="str">
        <f>IFERROR(VLOOKUP(D229,List1!$J$5:$K$227,2,FALSE),"0")</f>
        <v>0</v>
      </c>
      <c r="L229" s="41">
        <f>IFERROR(VLOOKUP(D229,List1!$M$5:$N$112,2,FALSE),"0")</f>
        <v>290000</v>
      </c>
      <c r="M229" s="43">
        <v>0</v>
      </c>
      <c r="N229" s="80">
        <f>VLOOKUP($D$5:$D$251,List2!$A$2:$B$241,2,FALSE)</f>
        <v>0</v>
      </c>
      <c r="O229" s="80">
        <f>IFERROR(VLOOKUP($D$5:$D$260,List1!$Y$5:$Z$244,2,FALSE),0)</f>
        <v>0</v>
      </c>
      <c r="P229" s="202">
        <f>IFERROR(VLOOKUP($D$5:$D$260,List1!$AB$5:$AC$244,2,FALSE),0)</f>
        <v>0</v>
      </c>
      <c r="Q229" s="201">
        <f>IFERROR(VLOOKUP($D$5:$D$260,List1!$S$5:$T$231,2,FALSE),0)</f>
        <v>5137000</v>
      </c>
      <c r="R229" s="41">
        <v>0</v>
      </c>
      <c r="S229" s="41">
        <f>IFERROR(VLOOKUP($D$5:$D$260,List1!$AE$5:$AF$231,2,FALSE),0)</f>
        <v>1938442</v>
      </c>
      <c r="T229" s="41">
        <f t="shared" si="27"/>
        <v>7075442</v>
      </c>
      <c r="U229" s="41" t="str">
        <f>IFERROR(VLOOKUP(D229,List1!$P$5:$Q$110,2,FALSE),"0")</f>
        <v>0</v>
      </c>
      <c r="V229" s="41">
        <v>0</v>
      </c>
      <c r="W229" s="248">
        <v>0</v>
      </c>
      <c r="X229" s="211">
        <f t="shared" si="28"/>
        <v>7075442</v>
      </c>
      <c r="Y229" s="219"/>
      <c r="Z229" s="80">
        <f>IFERROR(VLOOKUP($D$5:$D$260,#REF!,3,FALSE),0)</f>
        <v>0</v>
      </c>
      <c r="AA229" s="80">
        <f>IFERROR(VLOOKUP($D$5:$D$260,#REF!,3,FALSE),0)</f>
        <v>0</v>
      </c>
      <c r="AB229" s="243">
        <v>0</v>
      </c>
      <c r="AC229" s="202">
        <f t="shared" si="29"/>
        <v>0</v>
      </c>
      <c r="AD229" s="259">
        <f t="shared" si="30"/>
        <v>0</v>
      </c>
      <c r="AE229" s="260">
        <f t="shared" si="31"/>
        <v>0</v>
      </c>
      <c r="AF229" s="260">
        <f t="shared" si="32"/>
        <v>0</v>
      </c>
      <c r="AG229" s="260">
        <f t="shared" si="33"/>
        <v>0</v>
      </c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1"/>
      <c r="CX229" s="31"/>
      <c r="CY229" s="31"/>
      <c r="CZ229" s="31"/>
      <c r="DA229" s="31"/>
      <c r="DB229" s="31"/>
      <c r="DC229" s="31"/>
      <c r="DD229" s="31"/>
      <c r="DE229" s="31"/>
      <c r="DF229" s="31"/>
      <c r="DG229" s="31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/>
      <c r="DS229" s="31"/>
      <c r="DT229" s="31"/>
      <c r="DU229" s="31"/>
      <c r="DV229" s="31"/>
      <c r="DW229" s="31"/>
      <c r="DX229" s="31"/>
      <c r="DY229" s="31"/>
      <c r="DZ229" s="31"/>
      <c r="EA229" s="31"/>
      <c r="EB229" s="31"/>
      <c r="EC229" s="31"/>
      <c r="ED229" s="31"/>
      <c r="EE229" s="31"/>
      <c r="EF229" s="31"/>
      <c r="EG229" s="31"/>
      <c r="EH229" s="31"/>
      <c r="EI229" s="31"/>
      <c r="EJ229" s="31"/>
      <c r="EK229" s="31"/>
      <c r="EL229" s="31"/>
      <c r="EM229" s="31"/>
      <c r="EN229" s="31"/>
      <c r="EO229" s="31"/>
      <c r="EP229" s="31"/>
      <c r="EQ229" s="31"/>
      <c r="ER229" s="31"/>
      <c r="ES229" s="31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31"/>
      <c r="IX229" s="31"/>
      <c r="IY229" s="31"/>
      <c r="IZ229" s="31"/>
      <c r="JA229" s="31"/>
      <c r="JB229" s="31"/>
      <c r="JC229" s="31"/>
      <c r="JD229" s="31"/>
      <c r="JE229" s="31"/>
      <c r="JF229" s="31"/>
      <c r="JG229" s="31"/>
      <c r="JH229" s="31"/>
      <c r="JI229" s="31"/>
      <c r="JJ229" s="31"/>
      <c r="JK229" s="31"/>
      <c r="JL229" s="31"/>
      <c r="JM229" s="31"/>
      <c r="JN229" s="31"/>
      <c r="JO229" s="31"/>
      <c r="JP229" s="31"/>
      <c r="JQ229" s="31"/>
      <c r="JR229" s="31"/>
      <c r="JS229" s="31"/>
      <c r="JT229" s="31"/>
      <c r="JU229" s="31"/>
      <c r="JV229" s="31"/>
      <c r="JW229" s="31"/>
      <c r="JX229" s="31"/>
      <c r="JY229" s="31"/>
      <c r="JZ229" s="31"/>
      <c r="KA229" s="31"/>
      <c r="KB229" s="31"/>
      <c r="KC229" s="31"/>
      <c r="KD229" s="31"/>
      <c r="KE229" s="31"/>
      <c r="KF229" s="31"/>
      <c r="KG229" s="31"/>
      <c r="KH229" s="31"/>
      <c r="KI229" s="31"/>
      <c r="KJ229" s="31"/>
      <c r="KK229" s="31"/>
      <c r="KL229" s="31"/>
      <c r="KM229" s="31"/>
      <c r="KN229" s="31"/>
      <c r="KO229" s="31"/>
      <c r="KP229" s="31"/>
      <c r="KQ229" s="31"/>
      <c r="KR229" s="31"/>
      <c r="KS229" s="31"/>
      <c r="KT229" s="31"/>
      <c r="KU229" s="31"/>
      <c r="KV229" s="31"/>
      <c r="KW229" s="31"/>
      <c r="KX229" s="31"/>
      <c r="KY229" s="31"/>
      <c r="KZ229" s="31"/>
      <c r="LA229" s="31"/>
      <c r="LB229" s="31"/>
      <c r="LC229" s="31"/>
      <c r="LD229" s="31"/>
      <c r="LE229" s="31"/>
      <c r="LF229" s="31"/>
      <c r="LG229" s="31"/>
      <c r="LH229" s="31"/>
      <c r="LI229" s="31"/>
      <c r="LJ229" s="31"/>
      <c r="LK229" s="31"/>
      <c r="LL229" s="31"/>
      <c r="LM229" s="31"/>
      <c r="LN229" s="31"/>
      <c r="LO229" s="31"/>
      <c r="LP229" s="31"/>
      <c r="LQ229" s="31"/>
      <c r="LR229" s="31"/>
      <c r="LS229" s="31"/>
      <c r="LT229" s="31"/>
      <c r="LU229" s="31"/>
      <c r="LV229" s="31"/>
      <c r="LW229" s="31"/>
      <c r="LX229" s="31"/>
      <c r="LY229" s="31"/>
      <c r="LZ229" s="31"/>
      <c r="MA229" s="31"/>
      <c r="MB229" s="31"/>
      <c r="MC229" s="31"/>
      <c r="MD229" s="31"/>
      <c r="ME229" s="31"/>
      <c r="MF229" s="31"/>
      <c r="MG229" s="31"/>
      <c r="MH229" s="31"/>
      <c r="MI229" s="31"/>
      <c r="MJ229" s="31"/>
      <c r="MK229" s="31"/>
      <c r="ML229" s="31"/>
      <c r="MM229" s="31"/>
      <c r="MN229" s="31"/>
      <c r="MO229" s="31"/>
      <c r="MP229" s="31"/>
      <c r="MQ229" s="31"/>
      <c r="MR229" s="31"/>
      <c r="MS229" s="31"/>
      <c r="MT229" s="31"/>
      <c r="MU229" s="31"/>
      <c r="MV229" s="31"/>
      <c r="MW229" s="31"/>
      <c r="MX229" s="31"/>
      <c r="MY229" s="31"/>
      <c r="MZ229" s="31"/>
      <c r="NA229" s="31"/>
      <c r="NB229" s="31"/>
      <c r="NC229" s="31"/>
      <c r="ND229" s="31"/>
      <c r="NE229" s="31"/>
      <c r="NF229" s="31"/>
      <c r="NG229" s="31"/>
      <c r="NH229" s="31"/>
      <c r="NI229" s="31"/>
      <c r="NJ229" s="31"/>
      <c r="NK229" s="31"/>
      <c r="NL229" s="31"/>
      <c r="NM229" s="31"/>
      <c r="NN229" s="31"/>
      <c r="NO229" s="31"/>
      <c r="NP229" s="31"/>
      <c r="NQ229" s="31"/>
      <c r="NR229" s="31"/>
      <c r="NS229" s="31"/>
      <c r="NT229" s="31"/>
      <c r="NU229" s="31"/>
      <c r="NV229" s="31"/>
      <c r="NW229" s="31"/>
      <c r="NX229" s="31"/>
      <c r="NY229" s="31"/>
      <c r="NZ229" s="31"/>
      <c r="OA229" s="31"/>
      <c r="OB229" s="31"/>
      <c r="OC229" s="31"/>
      <c r="OD229" s="31"/>
      <c r="OE229" s="31"/>
      <c r="OF229" s="31"/>
      <c r="OG229" s="31"/>
      <c r="OH229" s="31"/>
      <c r="OI229" s="31"/>
      <c r="OJ229" s="31"/>
      <c r="OK229" s="31"/>
      <c r="OL229" s="31"/>
      <c r="OM229" s="31"/>
      <c r="ON229" s="31"/>
      <c r="OO229" s="31"/>
      <c r="OP229" s="31"/>
      <c r="OQ229" s="31"/>
      <c r="OR229" s="31"/>
      <c r="OS229" s="31"/>
      <c r="OT229" s="31"/>
      <c r="OU229" s="31"/>
      <c r="OV229" s="31"/>
      <c r="OW229" s="31"/>
      <c r="OX229" s="31"/>
      <c r="OY229" s="31"/>
      <c r="OZ229" s="31"/>
      <c r="PA229" s="31"/>
      <c r="PB229" s="31"/>
      <c r="PC229" s="31"/>
      <c r="PD229" s="31"/>
      <c r="PE229" s="31"/>
      <c r="PF229" s="31"/>
      <c r="PG229" s="31"/>
      <c r="PH229" s="31"/>
      <c r="PI229" s="31"/>
      <c r="PJ229" s="31"/>
      <c r="PK229" s="31"/>
      <c r="PL229" s="31"/>
      <c r="PM229" s="31"/>
      <c r="PN229" s="31"/>
      <c r="PO229" s="31"/>
      <c r="PP229" s="31"/>
      <c r="PQ229" s="31"/>
      <c r="PR229" s="31"/>
      <c r="PS229" s="31"/>
      <c r="PT229" s="31"/>
      <c r="PU229" s="31"/>
      <c r="PV229" s="31"/>
      <c r="PW229" s="31"/>
      <c r="PX229" s="31"/>
      <c r="PY229" s="31"/>
      <c r="PZ229" s="31"/>
      <c r="QA229" s="31"/>
      <c r="QB229" s="31"/>
      <c r="QC229" s="31"/>
      <c r="QD229" s="31"/>
      <c r="QE229" s="31"/>
      <c r="QF229" s="31"/>
      <c r="QG229" s="31"/>
      <c r="QH229" s="31"/>
      <c r="QI229" s="31"/>
      <c r="QJ229" s="31"/>
      <c r="QK229" s="31"/>
      <c r="QL229" s="31"/>
      <c r="QM229" s="31"/>
      <c r="QN229" s="31"/>
      <c r="QO229" s="31"/>
      <c r="QP229" s="31"/>
      <c r="QQ229" s="31"/>
      <c r="QR229" s="31"/>
      <c r="QS229" s="31"/>
      <c r="QT229" s="31"/>
      <c r="QU229" s="31"/>
      <c r="QV229" s="31"/>
      <c r="QW229" s="31"/>
      <c r="QX229" s="31"/>
      <c r="QY229" s="31"/>
      <c r="QZ229" s="31"/>
      <c r="RA229" s="31"/>
      <c r="RB229" s="31"/>
      <c r="RC229" s="31"/>
      <c r="RD229" s="31"/>
      <c r="RE229" s="31"/>
      <c r="RF229" s="31"/>
      <c r="RG229" s="31"/>
      <c r="RH229" s="31"/>
      <c r="RI229" s="31"/>
      <c r="RJ229" s="31"/>
      <c r="RK229" s="31"/>
      <c r="RL229" s="31"/>
      <c r="RM229" s="31"/>
      <c r="RN229" s="31"/>
      <c r="RO229" s="31"/>
      <c r="RP229" s="31"/>
      <c r="RQ229" s="31"/>
      <c r="RR229" s="31"/>
      <c r="RS229" s="31"/>
      <c r="RT229" s="31"/>
      <c r="RU229" s="31"/>
      <c r="RV229" s="31"/>
      <c r="RW229" s="31"/>
      <c r="RX229" s="31"/>
      <c r="RY229" s="31"/>
      <c r="RZ229" s="31"/>
      <c r="SA229" s="31"/>
      <c r="SB229" s="31"/>
      <c r="SC229" s="31"/>
      <c r="SD229" s="31"/>
      <c r="SE229" s="31"/>
      <c r="SF229" s="31"/>
      <c r="SG229" s="31"/>
      <c r="SH229" s="31"/>
      <c r="SI229" s="31"/>
      <c r="SJ229" s="31"/>
      <c r="SK229" s="31"/>
      <c r="SL229" s="31"/>
      <c r="SM229" s="31"/>
      <c r="SN229" s="31"/>
      <c r="SO229" s="31"/>
      <c r="SP229" s="31"/>
      <c r="SQ229" s="31"/>
      <c r="SR229" s="31"/>
      <c r="SS229" s="31"/>
      <c r="ST229" s="31"/>
      <c r="SU229" s="31"/>
      <c r="SV229" s="31"/>
      <c r="SW229" s="31"/>
      <c r="SX229" s="31"/>
      <c r="SY229" s="31"/>
      <c r="SZ229" s="31"/>
      <c r="TA229" s="31"/>
      <c r="TB229" s="31"/>
      <c r="TC229" s="31"/>
      <c r="TD229" s="31"/>
      <c r="TE229" s="31"/>
      <c r="TF229" s="31"/>
      <c r="TG229" s="31"/>
      <c r="TH229" s="31"/>
      <c r="TI229" s="31"/>
      <c r="TJ229" s="31"/>
      <c r="TK229" s="31"/>
      <c r="TL229" s="31"/>
      <c r="TM229" s="31"/>
      <c r="TN229" s="31"/>
      <c r="TO229" s="31"/>
      <c r="TP229" s="31"/>
      <c r="TQ229" s="31"/>
      <c r="TR229" s="31"/>
      <c r="TS229" s="31"/>
      <c r="TT229" s="31"/>
      <c r="TU229" s="31"/>
      <c r="TV229" s="31"/>
      <c r="TW229" s="31"/>
      <c r="TX229" s="31"/>
      <c r="TY229" s="31"/>
      <c r="TZ229" s="31"/>
      <c r="UA229" s="31"/>
      <c r="UB229" s="31"/>
      <c r="UC229" s="31"/>
      <c r="UD229" s="31"/>
      <c r="UE229" s="31"/>
      <c r="UF229" s="31"/>
      <c r="UG229" s="31"/>
      <c r="UH229" s="31"/>
      <c r="UI229" s="31"/>
      <c r="UJ229" s="31"/>
      <c r="UK229" s="31"/>
      <c r="UL229" s="31"/>
      <c r="UM229" s="31"/>
      <c r="UN229" s="31"/>
      <c r="UO229" s="31"/>
      <c r="UP229" s="31"/>
      <c r="UQ229" s="31"/>
      <c r="UR229" s="31"/>
      <c r="US229" s="31"/>
      <c r="UT229" s="31"/>
      <c r="UU229" s="31"/>
      <c r="UV229" s="31"/>
      <c r="UW229" s="31"/>
      <c r="UX229" s="31"/>
      <c r="UY229" s="31"/>
      <c r="UZ229" s="31"/>
      <c r="VA229" s="31"/>
      <c r="VB229" s="31"/>
      <c r="VC229" s="31"/>
      <c r="VD229" s="31"/>
      <c r="VE229" s="31"/>
      <c r="VF229" s="31"/>
      <c r="VG229" s="31"/>
      <c r="VH229" s="31"/>
      <c r="VI229" s="31"/>
      <c r="VJ229" s="31"/>
      <c r="VK229" s="31"/>
      <c r="VL229" s="31"/>
      <c r="VM229" s="31"/>
      <c r="VN229" s="31"/>
      <c r="VO229" s="31"/>
      <c r="VP229" s="31"/>
      <c r="VQ229" s="31"/>
      <c r="VR229" s="31"/>
      <c r="VS229" s="31"/>
      <c r="VT229" s="31"/>
    </row>
    <row r="230" spans="1:592" s="32" customFormat="1" ht="63" x14ac:dyDescent="0.2">
      <c r="A230" s="10" t="s">
        <v>455</v>
      </c>
      <c r="B230" s="15" t="s">
        <v>456</v>
      </c>
      <c r="C230" s="11" t="s">
        <v>324</v>
      </c>
      <c r="D230" s="11">
        <v>2308616</v>
      </c>
      <c r="E230" s="225" t="s">
        <v>290</v>
      </c>
      <c r="F230" s="192" t="s">
        <v>278</v>
      </c>
      <c r="G230" s="201">
        <f>IFERROR(VLOOKUP(D230,List1!$A$5:$B$227,2,FALSE),"0")</f>
        <v>10030000</v>
      </c>
      <c r="H230" s="41" t="str">
        <f>IFERROR(VLOOKUP(D230,List1!$D$5:$E$41,2,FALSE),"0")</f>
        <v>0</v>
      </c>
      <c r="I230" s="41">
        <f>IFERROR(VLOOKUP(D230,List1!$G$5:$H$227,2,FALSE),"0")</f>
        <v>621000</v>
      </c>
      <c r="J230" s="40">
        <f t="shared" si="26"/>
        <v>10651000</v>
      </c>
      <c r="K230" s="41" t="str">
        <f>IFERROR(VLOOKUP(D230,List1!$J$5:$K$227,2,FALSE),"0")</f>
        <v>0</v>
      </c>
      <c r="L230" s="41">
        <f>IFERROR(VLOOKUP(D230,List1!$M$5:$N$112,2,FALSE),"0")</f>
        <v>290000</v>
      </c>
      <c r="M230" s="43">
        <v>0</v>
      </c>
      <c r="N230" s="80">
        <f>VLOOKUP($D$5:$D$251,List2!$A$2:$B$241,2,FALSE)</f>
        <v>0</v>
      </c>
      <c r="O230" s="80">
        <f>IFERROR(VLOOKUP($D$5:$D$260,List1!$Y$5:$Z$244,2,FALSE),0)</f>
        <v>0</v>
      </c>
      <c r="P230" s="202">
        <f>IFERROR(VLOOKUP($D$5:$D$260,List1!$AB$5:$AC$244,2,FALSE),0)</f>
        <v>0</v>
      </c>
      <c r="Q230" s="201">
        <f>IFERROR(VLOOKUP($D$5:$D$260,List1!$S$5:$T$231,2,FALSE),0)</f>
        <v>8548000</v>
      </c>
      <c r="R230" s="41">
        <v>0</v>
      </c>
      <c r="S230" s="41">
        <f>IFERROR(VLOOKUP($D$5:$D$260,List1!$AE$5:$AF$231,2,FALSE),0)</f>
        <v>969221</v>
      </c>
      <c r="T230" s="41">
        <f t="shared" si="27"/>
        <v>9517221</v>
      </c>
      <c r="U230" s="41" t="str">
        <f>IFERROR(VLOOKUP(D230,List1!$P$5:$Q$110,2,FALSE),"0")</f>
        <v>0</v>
      </c>
      <c r="V230" s="41">
        <v>0</v>
      </c>
      <c r="W230" s="248">
        <v>0</v>
      </c>
      <c r="X230" s="211">
        <f t="shared" si="28"/>
        <v>9517221</v>
      </c>
      <c r="Y230" s="219"/>
      <c r="Z230" s="80">
        <f>IFERROR(VLOOKUP($D$5:$D$260,#REF!,3,FALSE),0)</f>
        <v>0</v>
      </c>
      <c r="AA230" s="80">
        <f>IFERROR(VLOOKUP($D$5:$D$260,#REF!,3,FALSE),0)</f>
        <v>0</v>
      </c>
      <c r="AB230" s="243">
        <v>0</v>
      </c>
      <c r="AC230" s="202">
        <f t="shared" si="29"/>
        <v>0</v>
      </c>
      <c r="AD230" s="259">
        <f t="shared" si="30"/>
        <v>0</v>
      </c>
      <c r="AE230" s="260">
        <f t="shared" si="31"/>
        <v>0</v>
      </c>
      <c r="AF230" s="260">
        <f t="shared" si="32"/>
        <v>0</v>
      </c>
      <c r="AG230" s="260">
        <f t="shared" si="33"/>
        <v>0</v>
      </c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1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31"/>
      <c r="DL230" s="31"/>
      <c r="DM230" s="31"/>
      <c r="DN230" s="31"/>
      <c r="DO230" s="31"/>
      <c r="DP230" s="31"/>
      <c r="DQ230" s="31"/>
      <c r="DR230" s="31"/>
      <c r="DS230" s="31"/>
      <c r="DT230" s="31"/>
      <c r="DU230" s="31"/>
      <c r="DV230" s="31"/>
      <c r="DW230" s="31"/>
      <c r="DX230" s="31"/>
      <c r="DY230" s="31"/>
      <c r="DZ230" s="31"/>
      <c r="EA230" s="31"/>
      <c r="EB230" s="31"/>
      <c r="EC230" s="31"/>
      <c r="ED230" s="31"/>
      <c r="EE230" s="31"/>
      <c r="EF230" s="31"/>
      <c r="EG230" s="31"/>
      <c r="EH230" s="31"/>
      <c r="EI230" s="31"/>
      <c r="EJ230" s="31"/>
      <c r="EK230" s="31"/>
      <c r="EL230" s="31"/>
      <c r="EM230" s="31"/>
      <c r="EN230" s="31"/>
      <c r="EO230" s="31"/>
      <c r="EP230" s="31"/>
      <c r="EQ230" s="31"/>
      <c r="ER230" s="31"/>
      <c r="ES230" s="31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31"/>
      <c r="IX230" s="31"/>
      <c r="IY230" s="31"/>
      <c r="IZ230" s="31"/>
      <c r="JA230" s="31"/>
      <c r="JB230" s="31"/>
      <c r="JC230" s="31"/>
      <c r="JD230" s="31"/>
      <c r="JE230" s="31"/>
      <c r="JF230" s="31"/>
      <c r="JG230" s="31"/>
      <c r="JH230" s="31"/>
      <c r="JI230" s="31"/>
      <c r="JJ230" s="31"/>
      <c r="JK230" s="31"/>
      <c r="JL230" s="31"/>
      <c r="JM230" s="31"/>
      <c r="JN230" s="31"/>
      <c r="JO230" s="31"/>
      <c r="JP230" s="31"/>
      <c r="JQ230" s="31"/>
      <c r="JR230" s="31"/>
      <c r="JS230" s="31"/>
      <c r="JT230" s="31"/>
      <c r="JU230" s="31"/>
      <c r="JV230" s="31"/>
      <c r="JW230" s="31"/>
      <c r="JX230" s="31"/>
      <c r="JY230" s="31"/>
      <c r="JZ230" s="31"/>
      <c r="KA230" s="31"/>
      <c r="KB230" s="31"/>
      <c r="KC230" s="31"/>
      <c r="KD230" s="31"/>
      <c r="KE230" s="31"/>
      <c r="KF230" s="31"/>
      <c r="KG230" s="31"/>
      <c r="KH230" s="31"/>
      <c r="KI230" s="31"/>
      <c r="KJ230" s="31"/>
      <c r="KK230" s="31"/>
      <c r="KL230" s="31"/>
      <c r="KM230" s="31"/>
      <c r="KN230" s="31"/>
      <c r="KO230" s="31"/>
      <c r="KP230" s="31"/>
      <c r="KQ230" s="31"/>
      <c r="KR230" s="31"/>
      <c r="KS230" s="31"/>
      <c r="KT230" s="31"/>
      <c r="KU230" s="31"/>
      <c r="KV230" s="31"/>
      <c r="KW230" s="31"/>
      <c r="KX230" s="31"/>
      <c r="KY230" s="31"/>
      <c r="KZ230" s="31"/>
      <c r="LA230" s="31"/>
      <c r="LB230" s="31"/>
      <c r="LC230" s="31"/>
      <c r="LD230" s="31"/>
      <c r="LE230" s="31"/>
      <c r="LF230" s="31"/>
      <c r="LG230" s="31"/>
      <c r="LH230" s="31"/>
      <c r="LI230" s="31"/>
      <c r="LJ230" s="31"/>
      <c r="LK230" s="31"/>
      <c r="LL230" s="31"/>
      <c r="LM230" s="31"/>
      <c r="LN230" s="31"/>
      <c r="LO230" s="31"/>
      <c r="LP230" s="31"/>
      <c r="LQ230" s="31"/>
      <c r="LR230" s="31"/>
      <c r="LS230" s="31"/>
      <c r="LT230" s="31"/>
      <c r="LU230" s="31"/>
      <c r="LV230" s="31"/>
      <c r="LW230" s="31"/>
      <c r="LX230" s="31"/>
      <c r="LY230" s="31"/>
      <c r="LZ230" s="31"/>
      <c r="MA230" s="31"/>
      <c r="MB230" s="31"/>
      <c r="MC230" s="31"/>
      <c r="MD230" s="31"/>
      <c r="ME230" s="31"/>
      <c r="MF230" s="31"/>
      <c r="MG230" s="31"/>
      <c r="MH230" s="31"/>
      <c r="MI230" s="31"/>
      <c r="MJ230" s="31"/>
      <c r="MK230" s="31"/>
      <c r="ML230" s="31"/>
      <c r="MM230" s="31"/>
      <c r="MN230" s="31"/>
      <c r="MO230" s="31"/>
      <c r="MP230" s="31"/>
      <c r="MQ230" s="31"/>
      <c r="MR230" s="31"/>
      <c r="MS230" s="31"/>
      <c r="MT230" s="31"/>
      <c r="MU230" s="31"/>
      <c r="MV230" s="31"/>
      <c r="MW230" s="31"/>
      <c r="MX230" s="31"/>
      <c r="MY230" s="31"/>
      <c r="MZ230" s="31"/>
      <c r="NA230" s="31"/>
      <c r="NB230" s="31"/>
      <c r="NC230" s="31"/>
      <c r="ND230" s="31"/>
      <c r="NE230" s="31"/>
      <c r="NF230" s="31"/>
      <c r="NG230" s="31"/>
      <c r="NH230" s="31"/>
      <c r="NI230" s="31"/>
      <c r="NJ230" s="31"/>
      <c r="NK230" s="31"/>
      <c r="NL230" s="31"/>
      <c r="NM230" s="31"/>
      <c r="NN230" s="31"/>
      <c r="NO230" s="31"/>
      <c r="NP230" s="31"/>
      <c r="NQ230" s="31"/>
      <c r="NR230" s="31"/>
      <c r="NS230" s="31"/>
      <c r="NT230" s="31"/>
      <c r="NU230" s="31"/>
      <c r="NV230" s="31"/>
      <c r="NW230" s="31"/>
      <c r="NX230" s="31"/>
      <c r="NY230" s="31"/>
      <c r="NZ230" s="31"/>
      <c r="OA230" s="31"/>
      <c r="OB230" s="31"/>
      <c r="OC230" s="31"/>
      <c r="OD230" s="31"/>
      <c r="OE230" s="31"/>
      <c r="OF230" s="31"/>
      <c r="OG230" s="31"/>
      <c r="OH230" s="31"/>
      <c r="OI230" s="31"/>
      <c r="OJ230" s="31"/>
      <c r="OK230" s="31"/>
      <c r="OL230" s="31"/>
      <c r="OM230" s="31"/>
      <c r="ON230" s="31"/>
      <c r="OO230" s="31"/>
      <c r="OP230" s="31"/>
      <c r="OQ230" s="31"/>
      <c r="OR230" s="31"/>
      <c r="OS230" s="31"/>
      <c r="OT230" s="31"/>
      <c r="OU230" s="31"/>
      <c r="OV230" s="31"/>
      <c r="OW230" s="31"/>
      <c r="OX230" s="31"/>
      <c r="OY230" s="31"/>
      <c r="OZ230" s="31"/>
      <c r="PA230" s="31"/>
      <c r="PB230" s="31"/>
      <c r="PC230" s="31"/>
      <c r="PD230" s="31"/>
      <c r="PE230" s="31"/>
      <c r="PF230" s="31"/>
      <c r="PG230" s="31"/>
      <c r="PH230" s="31"/>
      <c r="PI230" s="31"/>
      <c r="PJ230" s="31"/>
      <c r="PK230" s="31"/>
      <c r="PL230" s="31"/>
      <c r="PM230" s="31"/>
      <c r="PN230" s="31"/>
      <c r="PO230" s="31"/>
      <c r="PP230" s="31"/>
      <c r="PQ230" s="31"/>
      <c r="PR230" s="31"/>
      <c r="PS230" s="31"/>
      <c r="PT230" s="31"/>
      <c r="PU230" s="31"/>
      <c r="PV230" s="31"/>
      <c r="PW230" s="31"/>
      <c r="PX230" s="31"/>
      <c r="PY230" s="31"/>
      <c r="PZ230" s="31"/>
      <c r="QA230" s="31"/>
      <c r="QB230" s="31"/>
      <c r="QC230" s="31"/>
      <c r="QD230" s="31"/>
      <c r="QE230" s="31"/>
      <c r="QF230" s="31"/>
      <c r="QG230" s="31"/>
      <c r="QH230" s="31"/>
      <c r="QI230" s="31"/>
      <c r="QJ230" s="31"/>
      <c r="QK230" s="31"/>
      <c r="QL230" s="31"/>
      <c r="QM230" s="31"/>
      <c r="QN230" s="31"/>
      <c r="QO230" s="31"/>
      <c r="QP230" s="31"/>
      <c r="QQ230" s="31"/>
      <c r="QR230" s="31"/>
      <c r="QS230" s="31"/>
      <c r="QT230" s="31"/>
      <c r="QU230" s="31"/>
      <c r="QV230" s="31"/>
      <c r="QW230" s="31"/>
      <c r="QX230" s="31"/>
      <c r="QY230" s="31"/>
      <c r="QZ230" s="31"/>
      <c r="RA230" s="31"/>
      <c r="RB230" s="31"/>
      <c r="RC230" s="31"/>
      <c r="RD230" s="31"/>
      <c r="RE230" s="31"/>
      <c r="RF230" s="31"/>
      <c r="RG230" s="31"/>
      <c r="RH230" s="31"/>
      <c r="RI230" s="31"/>
      <c r="RJ230" s="31"/>
      <c r="RK230" s="31"/>
      <c r="RL230" s="31"/>
      <c r="RM230" s="31"/>
      <c r="RN230" s="31"/>
      <c r="RO230" s="31"/>
      <c r="RP230" s="31"/>
      <c r="RQ230" s="31"/>
      <c r="RR230" s="31"/>
      <c r="RS230" s="31"/>
      <c r="RT230" s="31"/>
      <c r="RU230" s="31"/>
      <c r="RV230" s="31"/>
      <c r="RW230" s="31"/>
      <c r="RX230" s="31"/>
      <c r="RY230" s="31"/>
      <c r="RZ230" s="31"/>
      <c r="SA230" s="31"/>
      <c r="SB230" s="31"/>
      <c r="SC230" s="31"/>
      <c r="SD230" s="31"/>
      <c r="SE230" s="31"/>
      <c r="SF230" s="31"/>
      <c r="SG230" s="31"/>
      <c r="SH230" s="31"/>
      <c r="SI230" s="31"/>
      <c r="SJ230" s="31"/>
      <c r="SK230" s="31"/>
      <c r="SL230" s="31"/>
      <c r="SM230" s="31"/>
      <c r="SN230" s="31"/>
      <c r="SO230" s="31"/>
      <c r="SP230" s="31"/>
      <c r="SQ230" s="31"/>
      <c r="SR230" s="31"/>
      <c r="SS230" s="31"/>
      <c r="ST230" s="31"/>
      <c r="SU230" s="31"/>
      <c r="SV230" s="31"/>
      <c r="SW230" s="31"/>
      <c r="SX230" s="31"/>
      <c r="SY230" s="31"/>
      <c r="SZ230" s="31"/>
      <c r="TA230" s="31"/>
      <c r="TB230" s="31"/>
      <c r="TC230" s="31"/>
      <c r="TD230" s="31"/>
      <c r="TE230" s="31"/>
      <c r="TF230" s="31"/>
      <c r="TG230" s="31"/>
      <c r="TH230" s="31"/>
      <c r="TI230" s="31"/>
      <c r="TJ230" s="31"/>
      <c r="TK230" s="31"/>
      <c r="TL230" s="31"/>
      <c r="TM230" s="31"/>
      <c r="TN230" s="31"/>
      <c r="TO230" s="31"/>
      <c r="TP230" s="31"/>
      <c r="TQ230" s="31"/>
      <c r="TR230" s="31"/>
      <c r="TS230" s="31"/>
      <c r="TT230" s="31"/>
      <c r="TU230" s="31"/>
      <c r="TV230" s="31"/>
      <c r="TW230" s="31"/>
      <c r="TX230" s="31"/>
      <c r="TY230" s="31"/>
      <c r="TZ230" s="31"/>
      <c r="UA230" s="31"/>
      <c r="UB230" s="31"/>
      <c r="UC230" s="31"/>
      <c r="UD230" s="31"/>
      <c r="UE230" s="31"/>
      <c r="UF230" s="31"/>
      <c r="UG230" s="31"/>
      <c r="UH230" s="31"/>
      <c r="UI230" s="31"/>
      <c r="UJ230" s="31"/>
      <c r="UK230" s="31"/>
      <c r="UL230" s="31"/>
      <c r="UM230" s="31"/>
      <c r="UN230" s="31"/>
      <c r="UO230" s="31"/>
      <c r="UP230" s="31"/>
      <c r="UQ230" s="31"/>
      <c r="UR230" s="31"/>
      <c r="US230" s="31"/>
      <c r="UT230" s="31"/>
      <c r="UU230" s="31"/>
      <c r="UV230" s="31"/>
      <c r="UW230" s="31"/>
      <c r="UX230" s="31"/>
      <c r="UY230" s="31"/>
      <c r="UZ230" s="31"/>
      <c r="VA230" s="31"/>
      <c r="VB230" s="31"/>
      <c r="VC230" s="31"/>
      <c r="VD230" s="31"/>
      <c r="VE230" s="31"/>
      <c r="VF230" s="31"/>
      <c r="VG230" s="31"/>
      <c r="VH230" s="31"/>
      <c r="VI230" s="31"/>
      <c r="VJ230" s="31"/>
      <c r="VK230" s="31"/>
      <c r="VL230" s="31"/>
      <c r="VM230" s="31"/>
      <c r="VN230" s="31"/>
      <c r="VO230" s="31"/>
      <c r="VP230" s="31"/>
      <c r="VQ230" s="31"/>
      <c r="VR230" s="31"/>
      <c r="VS230" s="31"/>
      <c r="VT230" s="31"/>
    </row>
    <row r="231" spans="1:592" s="32" customFormat="1" ht="31.5" x14ac:dyDescent="0.2">
      <c r="A231" s="10" t="s">
        <v>149</v>
      </c>
      <c r="B231" s="11">
        <v>29043913</v>
      </c>
      <c r="C231" s="11" t="s">
        <v>318</v>
      </c>
      <c r="D231" s="11">
        <v>7143232</v>
      </c>
      <c r="E231" s="225" t="s">
        <v>321</v>
      </c>
      <c r="F231" s="192" t="s">
        <v>294</v>
      </c>
      <c r="G231" s="203">
        <f>IFERROR(VLOOKUP(D231,List1!$A$5:$B$227,2,FALSE),"0")-778809.52</f>
        <v>2492190.48</v>
      </c>
      <c r="H231" s="41">
        <f>IFERROR(VLOOKUP(D231,List1!$D$5:$E$41,2,FALSE),"0")</f>
        <v>254700</v>
      </c>
      <c r="I231" s="41">
        <f>IFERROR(VLOOKUP(D231,List1!$G$5:$H$227,2,FALSE),"0")</f>
        <v>0</v>
      </c>
      <c r="J231" s="40">
        <f t="shared" si="26"/>
        <v>2746890.48</v>
      </c>
      <c r="K231" s="41" t="str">
        <f>IFERROR(VLOOKUP(D231,List1!$J$5:$K$227,2,FALSE),"0")</f>
        <v>0</v>
      </c>
      <c r="L231" s="41" t="str">
        <f>IFERROR(VLOOKUP(D231,List1!$M$5:$N$112,2,FALSE),"0")</f>
        <v>0</v>
      </c>
      <c r="M231" s="44">
        <v>1923145</v>
      </c>
      <c r="N231" s="80">
        <f>VLOOKUP($D$5:$D$251,List2!$A$2:$B$241,2,FALSE)</f>
        <v>178266</v>
      </c>
      <c r="O231" s="80">
        <f>IFERROR(VLOOKUP($D$5:$D$260,List1!$Y$5:$Z$244,2,FALSE),0)</f>
        <v>0</v>
      </c>
      <c r="P231" s="202">
        <f>IFERROR(VLOOKUP($D$5:$D$260,List1!$AB$5:$AC$244,2,FALSE),0)</f>
        <v>0</v>
      </c>
      <c r="Q231" s="201">
        <f>IFERROR(VLOOKUP($D$5:$D$260,List1!$S$5:$T$231,2,FALSE),0)</f>
        <v>4938485</v>
      </c>
      <c r="R231" s="41">
        <v>0</v>
      </c>
      <c r="S231" s="41">
        <f>IFERROR(VLOOKUP($D$5:$D$260,List1!$AE$5:$AF$231,2,FALSE),0)</f>
        <v>1000000</v>
      </c>
      <c r="T231" s="41">
        <f t="shared" si="27"/>
        <v>5938485</v>
      </c>
      <c r="U231" s="41">
        <f>IFERROR(VLOOKUP(D231,List1!$P$5:$Q$110,2,FALSE),"0")</f>
        <v>490000</v>
      </c>
      <c r="V231" s="41">
        <v>0</v>
      </c>
      <c r="W231" s="248">
        <v>0</v>
      </c>
      <c r="X231" s="211">
        <f t="shared" si="28"/>
        <v>6428485</v>
      </c>
      <c r="Y231" s="219"/>
      <c r="Z231" s="80">
        <f>IFERROR(VLOOKUP($D$5:$D$260,#REF!,3,FALSE),0)</f>
        <v>0</v>
      </c>
      <c r="AA231" s="80">
        <f>IFERROR(VLOOKUP($D$5:$D$260,#REF!,3,FALSE),0)</f>
        <v>0</v>
      </c>
      <c r="AB231" s="243">
        <v>0</v>
      </c>
      <c r="AC231" s="202">
        <f t="shared" si="29"/>
        <v>0</v>
      </c>
      <c r="AD231" s="259">
        <f t="shared" si="30"/>
        <v>-490000</v>
      </c>
      <c r="AE231" s="260">
        <f t="shared" si="31"/>
        <v>-1</v>
      </c>
      <c r="AF231" s="260">
        <f t="shared" si="32"/>
        <v>-1</v>
      </c>
      <c r="AG231" s="260">
        <f t="shared" si="33"/>
        <v>-1</v>
      </c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1"/>
      <c r="CX231" s="31"/>
      <c r="CY231" s="31"/>
      <c r="CZ231" s="31"/>
      <c r="DA231" s="31"/>
      <c r="DB231" s="31"/>
      <c r="DC231" s="31"/>
      <c r="DD231" s="31"/>
      <c r="DE231" s="31"/>
      <c r="DF231" s="31"/>
      <c r="DG231" s="31"/>
      <c r="DH231" s="31"/>
      <c r="DI231" s="31"/>
      <c r="DJ231" s="31"/>
      <c r="DK231" s="31"/>
      <c r="DL231" s="31"/>
      <c r="DM231" s="31"/>
      <c r="DN231" s="31"/>
      <c r="DO231" s="31"/>
      <c r="DP231" s="31"/>
      <c r="DQ231" s="31"/>
      <c r="DR231" s="31"/>
      <c r="DS231" s="31"/>
      <c r="DT231" s="31"/>
      <c r="DU231" s="31"/>
      <c r="DV231" s="31"/>
      <c r="DW231" s="31"/>
      <c r="DX231" s="31"/>
      <c r="DY231" s="31"/>
      <c r="DZ231" s="31"/>
      <c r="EA231" s="31"/>
      <c r="EB231" s="31"/>
      <c r="EC231" s="31"/>
      <c r="ED231" s="31"/>
      <c r="EE231" s="31"/>
      <c r="EF231" s="31"/>
      <c r="EG231" s="31"/>
      <c r="EH231" s="31"/>
      <c r="EI231" s="31"/>
      <c r="EJ231" s="31"/>
      <c r="EK231" s="31"/>
      <c r="EL231" s="31"/>
      <c r="EM231" s="31"/>
      <c r="EN231" s="31"/>
      <c r="EO231" s="31"/>
      <c r="EP231" s="31"/>
      <c r="EQ231" s="31"/>
      <c r="ER231" s="31"/>
      <c r="ES231" s="31"/>
      <c r="ET231" s="31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31"/>
      <c r="IX231" s="31"/>
      <c r="IY231" s="31"/>
      <c r="IZ231" s="31"/>
      <c r="JA231" s="31"/>
      <c r="JB231" s="31"/>
      <c r="JC231" s="31"/>
      <c r="JD231" s="31"/>
      <c r="JE231" s="31"/>
      <c r="JF231" s="31"/>
      <c r="JG231" s="31"/>
      <c r="JH231" s="31"/>
      <c r="JI231" s="31"/>
      <c r="JJ231" s="31"/>
      <c r="JK231" s="31"/>
      <c r="JL231" s="31"/>
      <c r="JM231" s="31"/>
      <c r="JN231" s="31"/>
      <c r="JO231" s="31"/>
      <c r="JP231" s="31"/>
      <c r="JQ231" s="31"/>
      <c r="JR231" s="31"/>
      <c r="JS231" s="31"/>
      <c r="JT231" s="31"/>
      <c r="JU231" s="31"/>
      <c r="JV231" s="31"/>
      <c r="JW231" s="31"/>
      <c r="JX231" s="31"/>
      <c r="JY231" s="31"/>
      <c r="JZ231" s="31"/>
      <c r="KA231" s="31"/>
      <c r="KB231" s="31"/>
      <c r="KC231" s="31"/>
      <c r="KD231" s="31"/>
      <c r="KE231" s="31"/>
      <c r="KF231" s="31"/>
      <c r="KG231" s="31"/>
      <c r="KH231" s="31"/>
      <c r="KI231" s="31"/>
      <c r="KJ231" s="31"/>
      <c r="KK231" s="31"/>
      <c r="KL231" s="31"/>
      <c r="KM231" s="31"/>
      <c r="KN231" s="31"/>
      <c r="KO231" s="31"/>
      <c r="KP231" s="31"/>
      <c r="KQ231" s="31"/>
      <c r="KR231" s="31"/>
      <c r="KS231" s="31"/>
      <c r="KT231" s="31"/>
      <c r="KU231" s="31"/>
      <c r="KV231" s="31"/>
      <c r="KW231" s="31"/>
      <c r="KX231" s="31"/>
      <c r="KY231" s="31"/>
      <c r="KZ231" s="31"/>
      <c r="LA231" s="31"/>
      <c r="LB231" s="31"/>
      <c r="LC231" s="31"/>
      <c r="LD231" s="31"/>
      <c r="LE231" s="31"/>
      <c r="LF231" s="31"/>
      <c r="LG231" s="31"/>
      <c r="LH231" s="31"/>
      <c r="LI231" s="31"/>
      <c r="LJ231" s="31"/>
      <c r="LK231" s="31"/>
      <c r="LL231" s="31"/>
      <c r="LM231" s="31"/>
      <c r="LN231" s="31"/>
      <c r="LO231" s="31"/>
      <c r="LP231" s="31"/>
      <c r="LQ231" s="31"/>
      <c r="LR231" s="31"/>
      <c r="LS231" s="31"/>
      <c r="LT231" s="31"/>
      <c r="LU231" s="31"/>
      <c r="LV231" s="31"/>
      <c r="LW231" s="31"/>
      <c r="LX231" s="31"/>
      <c r="LY231" s="31"/>
      <c r="LZ231" s="31"/>
      <c r="MA231" s="31"/>
      <c r="MB231" s="31"/>
      <c r="MC231" s="31"/>
      <c r="MD231" s="31"/>
      <c r="ME231" s="31"/>
      <c r="MF231" s="31"/>
      <c r="MG231" s="31"/>
      <c r="MH231" s="31"/>
      <c r="MI231" s="31"/>
      <c r="MJ231" s="31"/>
      <c r="MK231" s="31"/>
      <c r="ML231" s="31"/>
      <c r="MM231" s="31"/>
      <c r="MN231" s="31"/>
      <c r="MO231" s="31"/>
      <c r="MP231" s="31"/>
      <c r="MQ231" s="31"/>
      <c r="MR231" s="31"/>
      <c r="MS231" s="31"/>
      <c r="MT231" s="31"/>
      <c r="MU231" s="31"/>
      <c r="MV231" s="31"/>
      <c r="MW231" s="31"/>
      <c r="MX231" s="31"/>
      <c r="MY231" s="31"/>
      <c r="MZ231" s="31"/>
      <c r="NA231" s="31"/>
      <c r="NB231" s="31"/>
      <c r="NC231" s="31"/>
      <c r="ND231" s="31"/>
      <c r="NE231" s="31"/>
      <c r="NF231" s="31"/>
      <c r="NG231" s="31"/>
      <c r="NH231" s="31"/>
      <c r="NI231" s="31"/>
      <c r="NJ231" s="31"/>
      <c r="NK231" s="31"/>
      <c r="NL231" s="31"/>
      <c r="NM231" s="31"/>
      <c r="NN231" s="31"/>
      <c r="NO231" s="31"/>
      <c r="NP231" s="31"/>
      <c r="NQ231" s="31"/>
      <c r="NR231" s="31"/>
      <c r="NS231" s="31"/>
      <c r="NT231" s="31"/>
      <c r="NU231" s="31"/>
      <c r="NV231" s="31"/>
      <c r="NW231" s="31"/>
      <c r="NX231" s="31"/>
      <c r="NY231" s="31"/>
      <c r="NZ231" s="31"/>
      <c r="OA231" s="31"/>
      <c r="OB231" s="31"/>
      <c r="OC231" s="31"/>
      <c r="OD231" s="31"/>
      <c r="OE231" s="31"/>
      <c r="OF231" s="31"/>
      <c r="OG231" s="31"/>
      <c r="OH231" s="31"/>
      <c r="OI231" s="31"/>
      <c r="OJ231" s="31"/>
      <c r="OK231" s="31"/>
      <c r="OL231" s="31"/>
      <c r="OM231" s="31"/>
      <c r="ON231" s="31"/>
      <c r="OO231" s="31"/>
      <c r="OP231" s="31"/>
      <c r="OQ231" s="31"/>
      <c r="OR231" s="31"/>
      <c r="OS231" s="31"/>
      <c r="OT231" s="31"/>
      <c r="OU231" s="31"/>
      <c r="OV231" s="31"/>
      <c r="OW231" s="31"/>
      <c r="OX231" s="31"/>
      <c r="OY231" s="31"/>
      <c r="OZ231" s="31"/>
      <c r="PA231" s="31"/>
      <c r="PB231" s="31"/>
      <c r="PC231" s="31"/>
      <c r="PD231" s="31"/>
      <c r="PE231" s="31"/>
      <c r="PF231" s="31"/>
      <c r="PG231" s="31"/>
      <c r="PH231" s="31"/>
      <c r="PI231" s="31"/>
      <c r="PJ231" s="31"/>
      <c r="PK231" s="31"/>
      <c r="PL231" s="31"/>
      <c r="PM231" s="31"/>
      <c r="PN231" s="31"/>
      <c r="PO231" s="31"/>
      <c r="PP231" s="31"/>
      <c r="PQ231" s="31"/>
      <c r="PR231" s="31"/>
      <c r="PS231" s="31"/>
      <c r="PT231" s="31"/>
      <c r="PU231" s="31"/>
      <c r="PV231" s="31"/>
      <c r="PW231" s="31"/>
      <c r="PX231" s="31"/>
      <c r="PY231" s="31"/>
      <c r="PZ231" s="31"/>
      <c r="QA231" s="31"/>
      <c r="QB231" s="31"/>
      <c r="QC231" s="31"/>
      <c r="QD231" s="31"/>
      <c r="QE231" s="31"/>
      <c r="QF231" s="31"/>
      <c r="QG231" s="31"/>
      <c r="QH231" s="31"/>
      <c r="QI231" s="31"/>
      <c r="QJ231" s="31"/>
      <c r="QK231" s="31"/>
      <c r="QL231" s="31"/>
      <c r="QM231" s="31"/>
      <c r="QN231" s="31"/>
      <c r="QO231" s="31"/>
      <c r="QP231" s="31"/>
      <c r="QQ231" s="31"/>
      <c r="QR231" s="31"/>
      <c r="QS231" s="31"/>
      <c r="QT231" s="31"/>
      <c r="QU231" s="31"/>
      <c r="QV231" s="31"/>
      <c r="QW231" s="31"/>
      <c r="QX231" s="31"/>
      <c r="QY231" s="31"/>
      <c r="QZ231" s="31"/>
      <c r="RA231" s="31"/>
      <c r="RB231" s="31"/>
      <c r="RC231" s="31"/>
      <c r="RD231" s="31"/>
      <c r="RE231" s="31"/>
      <c r="RF231" s="31"/>
      <c r="RG231" s="31"/>
      <c r="RH231" s="31"/>
      <c r="RI231" s="31"/>
      <c r="RJ231" s="31"/>
      <c r="RK231" s="31"/>
      <c r="RL231" s="31"/>
      <c r="RM231" s="31"/>
      <c r="RN231" s="31"/>
      <c r="RO231" s="31"/>
      <c r="RP231" s="31"/>
      <c r="RQ231" s="31"/>
      <c r="RR231" s="31"/>
      <c r="RS231" s="31"/>
      <c r="RT231" s="31"/>
      <c r="RU231" s="31"/>
      <c r="RV231" s="31"/>
      <c r="RW231" s="31"/>
      <c r="RX231" s="31"/>
      <c r="RY231" s="31"/>
      <c r="RZ231" s="31"/>
      <c r="SA231" s="31"/>
      <c r="SB231" s="31"/>
      <c r="SC231" s="31"/>
      <c r="SD231" s="31"/>
      <c r="SE231" s="31"/>
      <c r="SF231" s="31"/>
      <c r="SG231" s="31"/>
      <c r="SH231" s="31"/>
      <c r="SI231" s="31"/>
      <c r="SJ231" s="31"/>
      <c r="SK231" s="31"/>
      <c r="SL231" s="31"/>
      <c r="SM231" s="31"/>
      <c r="SN231" s="31"/>
      <c r="SO231" s="31"/>
      <c r="SP231" s="31"/>
      <c r="SQ231" s="31"/>
      <c r="SR231" s="31"/>
      <c r="SS231" s="31"/>
      <c r="ST231" s="31"/>
      <c r="SU231" s="31"/>
      <c r="SV231" s="31"/>
      <c r="SW231" s="31"/>
      <c r="SX231" s="31"/>
      <c r="SY231" s="31"/>
      <c r="SZ231" s="31"/>
      <c r="TA231" s="31"/>
      <c r="TB231" s="31"/>
      <c r="TC231" s="31"/>
      <c r="TD231" s="31"/>
      <c r="TE231" s="31"/>
      <c r="TF231" s="31"/>
      <c r="TG231" s="31"/>
      <c r="TH231" s="31"/>
      <c r="TI231" s="31"/>
      <c r="TJ231" s="31"/>
      <c r="TK231" s="31"/>
      <c r="TL231" s="31"/>
      <c r="TM231" s="31"/>
      <c r="TN231" s="31"/>
      <c r="TO231" s="31"/>
      <c r="TP231" s="31"/>
      <c r="TQ231" s="31"/>
      <c r="TR231" s="31"/>
      <c r="TS231" s="31"/>
      <c r="TT231" s="31"/>
      <c r="TU231" s="31"/>
      <c r="TV231" s="31"/>
      <c r="TW231" s="31"/>
      <c r="TX231" s="31"/>
      <c r="TY231" s="31"/>
      <c r="TZ231" s="31"/>
      <c r="UA231" s="31"/>
      <c r="UB231" s="31"/>
      <c r="UC231" s="31"/>
      <c r="UD231" s="31"/>
      <c r="UE231" s="31"/>
      <c r="UF231" s="31"/>
      <c r="UG231" s="31"/>
      <c r="UH231" s="31"/>
      <c r="UI231" s="31"/>
      <c r="UJ231" s="31"/>
      <c r="UK231" s="31"/>
      <c r="UL231" s="31"/>
      <c r="UM231" s="31"/>
      <c r="UN231" s="31"/>
      <c r="UO231" s="31"/>
      <c r="UP231" s="31"/>
      <c r="UQ231" s="31"/>
      <c r="UR231" s="31"/>
      <c r="US231" s="31"/>
      <c r="UT231" s="31"/>
      <c r="UU231" s="31"/>
      <c r="UV231" s="31"/>
      <c r="UW231" s="31"/>
      <c r="UX231" s="31"/>
      <c r="UY231" s="31"/>
      <c r="UZ231" s="31"/>
      <c r="VA231" s="31"/>
      <c r="VB231" s="31"/>
      <c r="VC231" s="31"/>
      <c r="VD231" s="31"/>
      <c r="VE231" s="31"/>
      <c r="VF231" s="31"/>
      <c r="VG231" s="31"/>
      <c r="VH231" s="31"/>
      <c r="VI231" s="31"/>
      <c r="VJ231" s="31"/>
      <c r="VK231" s="31"/>
      <c r="VL231" s="31"/>
      <c r="VM231" s="31"/>
      <c r="VN231" s="31"/>
      <c r="VO231" s="31"/>
      <c r="VP231" s="31"/>
      <c r="VQ231" s="31"/>
      <c r="VR231" s="31"/>
      <c r="VS231" s="31"/>
      <c r="VT231" s="31"/>
    </row>
    <row r="232" spans="1:592" ht="31.5" x14ac:dyDescent="0.2">
      <c r="A232" s="10" t="s">
        <v>149</v>
      </c>
      <c r="B232" s="11">
        <v>29043913</v>
      </c>
      <c r="C232" s="11" t="s">
        <v>318</v>
      </c>
      <c r="D232" s="11">
        <v>7253089</v>
      </c>
      <c r="E232" s="225" t="s">
        <v>325</v>
      </c>
      <c r="F232" s="192" t="s">
        <v>300</v>
      </c>
      <c r="G232" s="201">
        <f>IFERROR(VLOOKUP(D232,List1!$A$5:$B$227,2,FALSE),"0")</f>
        <v>1449000</v>
      </c>
      <c r="H232" s="41" t="str">
        <f>IFERROR(VLOOKUP(D232,List1!$D$5:$E$41,2,FALSE),"0")</f>
        <v>0</v>
      </c>
      <c r="I232" s="41">
        <f>IFERROR(VLOOKUP(D232,List1!$G$5:$H$227,2,FALSE),"0")</f>
        <v>428538</v>
      </c>
      <c r="J232" s="40">
        <f t="shared" si="26"/>
        <v>1877538</v>
      </c>
      <c r="K232" s="41" t="str">
        <f>IFERROR(VLOOKUP(D232,List1!$J$5:$K$227,2,FALSE),"0")</f>
        <v>0</v>
      </c>
      <c r="L232" s="41">
        <f>IFERROR(VLOOKUP(D232,List1!$M$5:$N$112,2,FALSE),"0")</f>
        <v>45000</v>
      </c>
      <c r="M232" s="44">
        <v>0</v>
      </c>
      <c r="N232" s="80">
        <f>VLOOKUP($D$5:$D$251,List2!$A$2:$B$241,2,FALSE)</f>
        <v>56424</v>
      </c>
      <c r="O232" s="80">
        <f>IFERROR(VLOOKUP($D$5:$D$260,List1!$Y$5:$Z$244,2,FALSE),0)</f>
        <v>0</v>
      </c>
      <c r="P232" s="202">
        <f>IFERROR(VLOOKUP($D$5:$D$260,List1!$AB$5:$AC$244,2,FALSE),0)</f>
        <v>0</v>
      </c>
      <c r="Q232" s="201">
        <f>IFERROR(VLOOKUP($D$5:$D$260,List1!$S$5:$T$231,2,FALSE),0)</f>
        <v>2195469</v>
      </c>
      <c r="R232" s="41">
        <v>0</v>
      </c>
      <c r="S232" s="41">
        <f>IFERROR(VLOOKUP($D$5:$D$260,List1!$AE$5:$AF$231,2,FALSE),0)</f>
        <v>450000</v>
      </c>
      <c r="T232" s="41">
        <f t="shared" si="27"/>
        <v>2645469</v>
      </c>
      <c r="U232" s="41">
        <f>IFERROR(VLOOKUP(D232,List1!$P$5:$Q$110,2,FALSE),"0")</f>
        <v>421000</v>
      </c>
      <c r="V232" s="41">
        <v>0</v>
      </c>
      <c r="W232" s="248">
        <v>0</v>
      </c>
      <c r="X232" s="211">
        <f t="shared" si="28"/>
        <v>3066469</v>
      </c>
      <c r="Y232" s="219"/>
      <c r="Z232" s="80">
        <f>IFERROR(VLOOKUP($D$5:$D$260,#REF!,3,FALSE),0)</f>
        <v>0</v>
      </c>
      <c r="AA232" s="80">
        <f>IFERROR(VLOOKUP($D$5:$D$260,#REF!,3,FALSE),0)</f>
        <v>0</v>
      </c>
      <c r="AB232" s="243">
        <v>0</v>
      </c>
      <c r="AC232" s="202">
        <f t="shared" si="29"/>
        <v>0</v>
      </c>
      <c r="AD232" s="259">
        <f t="shared" si="30"/>
        <v>-421000</v>
      </c>
      <c r="AE232" s="260">
        <f t="shared" si="31"/>
        <v>-1</v>
      </c>
      <c r="AF232" s="260">
        <f t="shared" si="32"/>
        <v>-1</v>
      </c>
      <c r="AG232" s="260">
        <f t="shared" si="33"/>
        <v>-1</v>
      </c>
    </row>
    <row r="233" spans="1:592" ht="31.5" x14ac:dyDescent="0.2">
      <c r="A233" s="10" t="s">
        <v>149</v>
      </c>
      <c r="B233" s="11">
        <v>29043913</v>
      </c>
      <c r="C233" s="11" t="s">
        <v>318</v>
      </c>
      <c r="D233" s="11">
        <v>5968921</v>
      </c>
      <c r="E233" s="225" t="s">
        <v>283</v>
      </c>
      <c r="F233" s="192" t="s">
        <v>300</v>
      </c>
      <c r="G233" s="201">
        <f>IFERROR(VLOOKUP(D233,List1!$A$5:$B$227,2,FALSE),"0")</f>
        <v>805000</v>
      </c>
      <c r="H233" s="41" t="str">
        <f>IFERROR(VLOOKUP(D233,List1!$D$5:$E$41,2,FALSE),"0")</f>
        <v>0</v>
      </c>
      <c r="I233" s="41">
        <f>IFERROR(VLOOKUP(D233,List1!$G$5:$H$227,2,FALSE),"0")</f>
        <v>60000</v>
      </c>
      <c r="J233" s="40">
        <f t="shared" si="26"/>
        <v>865000</v>
      </c>
      <c r="K233" s="41">
        <f>IFERROR(VLOOKUP(D233,List1!$J$5:$K$227,2,FALSE),"0")</f>
        <v>43000</v>
      </c>
      <c r="L233" s="41">
        <f>IFERROR(VLOOKUP(D233,List1!$M$5:$N$112,2,FALSE),"0")</f>
        <v>18000</v>
      </c>
      <c r="M233" s="44">
        <v>0</v>
      </c>
      <c r="N233" s="80">
        <f>VLOOKUP($D$5:$D$251,List2!$A$2:$B$241,2,FALSE)</f>
        <v>50810</v>
      </c>
      <c r="O233" s="80">
        <f>IFERROR(VLOOKUP($D$5:$D$260,List1!$Y$5:$Z$244,2,FALSE),0)</f>
        <v>0</v>
      </c>
      <c r="P233" s="202">
        <f>IFERROR(VLOOKUP($D$5:$D$260,List1!$AB$5:$AC$244,2,FALSE),0)</f>
        <v>0</v>
      </c>
      <c r="Q233" s="201">
        <f>IFERROR(VLOOKUP($D$5:$D$260,List1!$S$5:$T$231,2,FALSE),0)</f>
        <v>803715</v>
      </c>
      <c r="R233" s="41">
        <v>0</v>
      </c>
      <c r="S233" s="41">
        <f>IFERROR(VLOOKUP($D$5:$D$260,List1!$AE$5:$AF$231,2,FALSE),0)</f>
        <v>150000</v>
      </c>
      <c r="T233" s="41">
        <f t="shared" si="27"/>
        <v>953715</v>
      </c>
      <c r="U233" s="41">
        <f>IFERROR(VLOOKUP(D233,List1!$P$5:$Q$110,2,FALSE),"0")</f>
        <v>116000</v>
      </c>
      <c r="V233" s="41">
        <v>0</v>
      </c>
      <c r="W233" s="248">
        <v>0</v>
      </c>
      <c r="X233" s="211">
        <f t="shared" si="28"/>
        <v>1069715</v>
      </c>
      <c r="Y233" s="219"/>
      <c r="Z233" s="80">
        <f>IFERROR(VLOOKUP($D$5:$D$260,#REF!,3,FALSE),0)</f>
        <v>0</v>
      </c>
      <c r="AA233" s="80">
        <f>IFERROR(VLOOKUP($D$5:$D$260,#REF!,3,FALSE),0)</f>
        <v>0</v>
      </c>
      <c r="AB233" s="243">
        <v>0</v>
      </c>
      <c r="AC233" s="202">
        <f t="shared" si="29"/>
        <v>0</v>
      </c>
      <c r="AD233" s="259">
        <f t="shared" si="30"/>
        <v>-116000</v>
      </c>
      <c r="AE233" s="260">
        <f t="shared" si="31"/>
        <v>-1</v>
      </c>
      <c r="AF233" s="260">
        <f t="shared" si="32"/>
        <v>-1</v>
      </c>
      <c r="AG233" s="260">
        <f t="shared" si="33"/>
        <v>-1</v>
      </c>
    </row>
    <row r="234" spans="1:592" ht="21" x14ac:dyDescent="0.2">
      <c r="A234" s="10" t="s">
        <v>61</v>
      </c>
      <c r="B234" s="11">
        <v>27291049</v>
      </c>
      <c r="C234" s="11" t="s">
        <v>267</v>
      </c>
      <c r="D234" s="11">
        <v>4353078</v>
      </c>
      <c r="E234" s="225" t="s">
        <v>365</v>
      </c>
      <c r="F234" s="192" t="s">
        <v>294</v>
      </c>
      <c r="G234" s="203">
        <f>IFERROR(VLOOKUP(D234,List1!$A$5:$B$227,2,FALSE),"0")-1830937.5</f>
        <v>122062.5</v>
      </c>
      <c r="H234" s="41">
        <f>IFERROR(VLOOKUP(D234,List1!$D$5:$E$41,2,FALSE),"0")</f>
        <v>681660</v>
      </c>
      <c r="I234" s="41">
        <f>IFERROR(VLOOKUP(D234,List1!$G$5:$H$227,2,FALSE),"0")</f>
        <v>0</v>
      </c>
      <c r="J234" s="40">
        <f t="shared" si="26"/>
        <v>803722.5</v>
      </c>
      <c r="K234" s="41">
        <f>IFERROR(VLOOKUP(D234,List1!$J$5:$K$227,2,FALSE),"0")</f>
        <v>124000</v>
      </c>
      <c r="L234" s="41" t="str">
        <f>IFERROR(VLOOKUP(D234,List1!$M$5:$N$112,2,FALSE),"0")</f>
        <v>0</v>
      </c>
      <c r="M234" s="44">
        <v>3461661</v>
      </c>
      <c r="N234" s="80">
        <f>VLOOKUP($D$5:$D$251,List2!$A$2:$B$241,2,FALSE)</f>
        <v>116571</v>
      </c>
      <c r="O234" s="80">
        <f>IFERROR(VLOOKUP($D$5:$D$260,List1!$Y$5:$Z$244,2,FALSE),0)</f>
        <v>0</v>
      </c>
      <c r="P234" s="202">
        <f>IFERROR(VLOOKUP($D$5:$D$260,List1!$AB$5:$AC$244,2,FALSE),0)</f>
        <v>0</v>
      </c>
      <c r="Q234" s="201">
        <f>IFERROR(VLOOKUP($D$5:$D$260,List1!$S$5:$T$231,2,FALSE),0)</f>
        <v>2459810</v>
      </c>
      <c r="R234" s="41">
        <v>0</v>
      </c>
      <c r="S234" s="45">
        <f>IFERROR(VLOOKUP($D$5:$D$260,List1!$AE$5:$AF$231,2,FALSE),0)+111500</f>
        <v>611500</v>
      </c>
      <c r="T234" s="41">
        <f t="shared" si="27"/>
        <v>3071310</v>
      </c>
      <c r="U234" s="41">
        <f>IFERROR(VLOOKUP(D234,List1!$P$5:$Q$110,2,FALSE),"0")</f>
        <v>404000</v>
      </c>
      <c r="V234" s="41">
        <v>0</v>
      </c>
      <c r="W234" s="248">
        <v>0</v>
      </c>
      <c r="X234" s="211">
        <f t="shared" si="28"/>
        <v>3475310</v>
      </c>
      <c r="Y234" s="219"/>
      <c r="Z234" s="80">
        <f>IFERROR(VLOOKUP($D$5:$D$260,#REF!,3,FALSE),0)</f>
        <v>0</v>
      </c>
      <c r="AA234" s="80">
        <f>IFERROR(VLOOKUP($D$5:$D$260,#REF!,3,FALSE),0)</f>
        <v>0</v>
      </c>
      <c r="AB234" s="243">
        <v>0</v>
      </c>
      <c r="AC234" s="202">
        <f t="shared" si="29"/>
        <v>0</v>
      </c>
      <c r="AD234" s="259">
        <f t="shared" si="30"/>
        <v>-404000</v>
      </c>
      <c r="AE234" s="260">
        <f t="shared" si="31"/>
        <v>-1</v>
      </c>
      <c r="AF234" s="260">
        <f t="shared" si="32"/>
        <v>-1</v>
      </c>
      <c r="AG234" s="260">
        <f t="shared" si="33"/>
        <v>-1</v>
      </c>
    </row>
    <row r="235" spans="1:592" x14ac:dyDescent="0.2">
      <c r="A235" s="10" t="s">
        <v>61</v>
      </c>
      <c r="B235" s="11">
        <v>27291049</v>
      </c>
      <c r="C235" s="11" t="s">
        <v>267</v>
      </c>
      <c r="D235" s="11">
        <v>5227172</v>
      </c>
      <c r="E235" s="225" t="s">
        <v>337</v>
      </c>
      <c r="F235" s="192" t="s">
        <v>278</v>
      </c>
      <c r="G235" s="201">
        <f>IFERROR(VLOOKUP(D235,List1!$A$5:$B$227,2,FALSE),"0")</f>
        <v>7908000</v>
      </c>
      <c r="H235" s="41" t="str">
        <f>IFERROR(VLOOKUP(D235,List1!$D$5:$E$41,2,FALSE),"0")</f>
        <v>0</v>
      </c>
      <c r="I235" s="41">
        <f>IFERROR(VLOOKUP(D235,List1!$G$5:$H$227,2,FALSE),"0")</f>
        <v>870000</v>
      </c>
      <c r="J235" s="40">
        <f t="shared" si="26"/>
        <v>8778000</v>
      </c>
      <c r="K235" s="41">
        <f>IFERROR(VLOOKUP(D235,List1!$J$5:$K$227,2,FALSE),"0")</f>
        <v>290000</v>
      </c>
      <c r="L235" s="41">
        <f>IFERROR(VLOOKUP(D235,List1!$M$5:$N$112,2,FALSE),"0")</f>
        <v>149000</v>
      </c>
      <c r="M235" s="44">
        <v>0</v>
      </c>
      <c r="N235" s="80">
        <f>VLOOKUP($D$5:$D$251,List2!$A$2:$B$241,2,FALSE)</f>
        <v>609826</v>
      </c>
      <c r="O235" s="80">
        <f>IFERROR(VLOOKUP($D$5:$D$260,List1!$Y$5:$Z$244,2,FALSE),0)</f>
        <v>0</v>
      </c>
      <c r="P235" s="202">
        <f>IFERROR(VLOOKUP($D$5:$D$260,List1!$AB$5:$AC$244,2,FALSE),0)</f>
        <v>0</v>
      </c>
      <c r="Q235" s="201">
        <f>IFERROR(VLOOKUP($D$5:$D$260,List1!$S$5:$T$231,2,FALSE),0)</f>
        <v>5786839</v>
      </c>
      <c r="R235" s="41">
        <v>0</v>
      </c>
      <c r="S235" s="41">
        <f>IFERROR(VLOOKUP($D$5:$D$260,List1!$AE$5:$AF$231,2,FALSE),0)</f>
        <v>1747361</v>
      </c>
      <c r="T235" s="41">
        <f t="shared" si="27"/>
        <v>7534200</v>
      </c>
      <c r="U235" s="41">
        <f>IFERROR(VLOOKUP(D235,List1!$P$5:$Q$110,2,FALSE),"0")</f>
        <v>490000</v>
      </c>
      <c r="V235" s="41">
        <v>0</v>
      </c>
      <c r="W235" s="248">
        <v>0</v>
      </c>
      <c r="X235" s="211">
        <f t="shared" si="28"/>
        <v>8024200</v>
      </c>
      <c r="Y235" s="219"/>
      <c r="Z235" s="80">
        <f>IFERROR(VLOOKUP($D$5:$D$260,#REF!,3,FALSE),0)</f>
        <v>0</v>
      </c>
      <c r="AA235" s="80">
        <f>IFERROR(VLOOKUP($D$5:$D$260,#REF!,3,FALSE),0)</f>
        <v>0</v>
      </c>
      <c r="AB235" s="243">
        <v>0</v>
      </c>
      <c r="AC235" s="202">
        <f t="shared" si="29"/>
        <v>0</v>
      </c>
      <c r="AD235" s="259">
        <f t="shared" si="30"/>
        <v>-490000</v>
      </c>
      <c r="AE235" s="260">
        <f t="shared" si="31"/>
        <v>-1</v>
      </c>
      <c r="AF235" s="260">
        <f t="shared" si="32"/>
        <v>-1</v>
      </c>
      <c r="AG235" s="260">
        <f t="shared" si="33"/>
        <v>-1</v>
      </c>
    </row>
    <row r="236" spans="1:592" ht="21" x14ac:dyDescent="0.2">
      <c r="A236" s="10" t="s">
        <v>61</v>
      </c>
      <c r="B236" s="11">
        <v>27291049</v>
      </c>
      <c r="C236" s="11" t="s">
        <v>267</v>
      </c>
      <c r="D236" s="11">
        <v>6650186</v>
      </c>
      <c r="E236" s="228" t="s">
        <v>338</v>
      </c>
      <c r="F236" s="192" t="s">
        <v>269</v>
      </c>
      <c r="G236" s="201">
        <f>IFERROR(VLOOKUP(D236,List1!$A$5:$B$227,2,FALSE),"0")</f>
        <v>1693000</v>
      </c>
      <c r="H236" s="41">
        <f>IFERROR(VLOOKUP(D236,List1!$D$5:$E$41,2,FALSE),"0")</f>
        <v>552500</v>
      </c>
      <c r="I236" s="41" t="str">
        <f>IFERROR(VLOOKUP(D236,List1!$G$5:$H$227,2,FALSE),"0")</f>
        <v>0</v>
      </c>
      <c r="J236" s="40">
        <f t="shared" si="26"/>
        <v>2245500</v>
      </c>
      <c r="K236" s="41">
        <f>IFERROR(VLOOKUP(D236,List1!$J$5:$K$227,2,FALSE),"0")</f>
        <v>77000</v>
      </c>
      <c r="L236" s="41">
        <f>IFERROR(VLOOKUP(D236,List1!$M$5:$N$112,2,FALSE),"0")</f>
        <v>27000</v>
      </c>
      <c r="M236" s="44">
        <v>0</v>
      </c>
      <c r="N236" s="80">
        <f>VLOOKUP($D$5:$D$251,List2!$A$2:$B$241,2,FALSE)</f>
        <v>158561</v>
      </c>
      <c r="O236" s="80">
        <f>IFERROR(VLOOKUP($D$5:$D$260,List1!$Y$5:$Z$244,2,FALSE),0)</f>
        <v>0</v>
      </c>
      <c r="P236" s="202">
        <f>IFERROR(VLOOKUP($D$5:$D$260,List1!$AB$5:$AC$244,2,FALSE),0)</f>
        <v>0</v>
      </c>
      <c r="Q236" s="201">
        <f>IFERROR(VLOOKUP($D$5:$D$260,List1!$S$5:$T$231,2,FALSE),0)</f>
        <v>1493140</v>
      </c>
      <c r="R236" s="41">
        <v>0</v>
      </c>
      <c r="S236" s="41">
        <f>IFERROR(VLOOKUP($D$5:$D$260,List1!$AE$5:$AF$231,2,FALSE),0)</f>
        <v>450000</v>
      </c>
      <c r="T236" s="41">
        <f t="shared" si="27"/>
        <v>1943140</v>
      </c>
      <c r="U236" s="41">
        <f>IFERROR(VLOOKUP(D236,List1!$P$5:$Q$110,2,FALSE),"0")</f>
        <v>253000</v>
      </c>
      <c r="V236" s="41">
        <v>0</v>
      </c>
      <c r="W236" s="248">
        <v>0</v>
      </c>
      <c r="X236" s="211">
        <f t="shared" si="28"/>
        <v>2196140</v>
      </c>
      <c r="Y236" s="219"/>
      <c r="Z236" s="80">
        <f>IFERROR(VLOOKUP($D$5:$D$260,#REF!,3,FALSE),0)</f>
        <v>0</v>
      </c>
      <c r="AA236" s="80">
        <f>IFERROR(VLOOKUP($D$5:$D$260,#REF!,3,FALSE),0)</f>
        <v>0</v>
      </c>
      <c r="AB236" s="243">
        <v>0</v>
      </c>
      <c r="AC236" s="202">
        <f t="shared" si="29"/>
        <v>0</v>
      </c>
      <c r="AD236" s="259">
        <f t="shared" si="30"/>
        <v>-253000</v>
      </c>
      <c r="AE236" s="260">
        <f t="shared" si="31"/>
        <v>-1</v>
      </c>
      <c r="AF236" s="260">
        <f t="shared" si="32"/>
        <v>-1</v>
      </c>
      <c r="AG236" s="260">
        <f t="shared" si="33"/>
        <v>-1</v>
      </c>
    </row>
    <row r="237" spans="1:592" ht="31.5" x14ac:dyDescent="0.2">
      <c r="A237" s="10" t="s">
        <v>457</v>
      </c>
      <c r="B237" s="11">
        <v>26611716</v>
      </c>
      <c r="C237" s="11" t="s">
        <v>318</v>
      </c>
      <c r="D237" s="11">
        <v>4385424</v>
      </c>
      <c r="E237" s="228" t="s">
        <v>343</v>
      </c>
      <c r="F237" s="192" t="s">
        <v>269</v>
      </c>
      <c r="G237" s="201" t="str">
        <f>IFERROR(VLOOKUP(D237,List1!$A$5:$B$227,2,FALSE),"0")</f>
        <v>0</v>
      </c>
      <c r="H237" s="41" t="str">
        <f>IFERROR(VLOOKUP(D237,List1!$D$5:$E$41,2,FALSE),"0")</f>
        <v>0</v>
      </c>
      <c r="I237" s="41" t="str">
        <f>IFERROR(VLOOKUP(D237,List1!$G$5:$H$227,2,FALSE),"0")</f>
        <v>0</v>
      </c>
      <c r="J237" s="40">
        <f t="shared" si="26"/>
        <v>0</v>
      </c>
      <c r="K237" s="41">
        <f>IFERROR(VLOOKUP(D237,List1!$J$5:$K$227,2,FALSE),"0")</f>
        <v>66000</v>
      </c>
      <c r="L237" s="41" t="str">
        <f>IFERROR(VLOOKUP(D237,List1!$M$5:$N$112,2,FALSE),"0")</f>
        <v>0</v>
      </c>
      <c r="M237" s="44">
        <v>0</v>
      </c>
      <c r="N237" s="80">
        <f>VLOOKUP($D$5:$D$251,List2!$A$2:$B$241,2,FALSE)</f>
        <v>176663</v>
      </c>
      <c r="O237" s="80">
        <f>IFERROR(VLOOKUP($D$5:$D$260,List1!$Y$5:$Z$244,2,FALSE),0)</f>
        <v>0</v>
      </c>
      <c r="P237" s="202">
        <f>IFERROR(VLOOKUP($D$5:$D$260,List1!$AB$5:$AC$244,2,FALSE),0)</f>
        <v>0</v>
      </c>
      <c r="Q237" s="201">
        <f>IFERROR(VLOOKUP($D$5:$D$260,List1!$S$5:$T$231,2,FALSE),0)</f>
        <v>0</v>
      </c>
      <c r="R237" s="41">
        <v>0</v>
      </c>
      <c r="S237" s="41">
        <f>IFERROR(VLOOKUP($D$5:$D$260,List1!$AE$5:$AF$231,2,FALSE),0)</f>
        <v>0</v>
      </c>
      <c r="T237" s="41">
        <f t="shared" si="27"/>
        <v>0</v>
      </c>
      <c r="U237" s="41">
        <f>IFERROR(VLOOKUP(D237,List1!$P$5:$Q$110,2,FALSE),"0")</f>
        <v>130000</v>
      </c>
      <c r="V237" s="41">
        <v>0</v>
      </c>
      <c r="W237" s="248">
        <v>0</v>
      </c>
      <c r="X237" s="211">
        <f t="shared" si="28"/>
        <v>130000</v>
      </c>
      <c r="Y237" s="219"/>
      <c r="Z237" s="80">
        <f>IFERROR(VLOOKUP($D$5:$D$260,#REF!,3,FALSE),0)</f>
        <v>0</v>
      </c>
      <c r="AA237" s="80">
        <f>IFERROR(VLOOKUP($D$5:$D$260,#REF!,3,FALSE),0)</f>
        <v>0</v>
      </c>
      <c r="AB237" s="243">
        <v>0</v>
      </c>
      <c r="AC237" s="202">
        <f t="shared" si="29"/>
        <v>0</v>
      </c>
      <c r="AD237" s="259">
        <f t="shared" si="30"/>
        <v>-130000</v>
      </c>
      <c r="AE237" s="260">
        <f t="shared" si="31"/>
        <v>-1</v>
      </c>
      <c r="AF237" s="260">
        <f t="shared" si="32"/>
        <v>-1</v>
      </c>
      <c r="AG237" s="260">
        <f t="shared" si="33"/>
        <v>-1</v>
      </c>
    </row>
    <row r="238" spans="1:592" ht="31.5" x14ac:dyDescent="0.2">
      <c r="A238" s="10" t="s">
        <v>458</v>
      </c>
      <c r="B238" s="11">
        <v>25475894</v>
      </c>
      <c r="C238" s="11" t="s">
        <v>318</v>
      </c>
      <c r="D238" s="11">
        <v>5293407</v>
      </c>
      <c r="E238" s="225" t="s">
        <v>459</v>
      </c>
      <c r="F238" s="192" t="s">
        <v>300</v>
      </c>
      <c r="G238" s="201">
        <f>IFERROR(VLOOKUP(D238,List1!$A$5:$B$227,2,FALSE),"0")</f>
        <v>216000</v>
      </c>
      <c r="H238" s="41" t="str">
        <f>IFERROR(VLOOKUP(D238,List1!$D$5:$E$41,2,FALSE),"0")</f>
        <v>0</v>
      </c>
      <c r="I238" s="41" t="str">
        <f>IFERROR(VLOOKUP(D238,List1!$G$5:$H$227,2,FALSE),"0")</f>
        <v>0</v>
      </c>
      <c r="J238" s="40">
        <f t="shared" si="26"/>
        <v>216000</v>
      </c>
      <c r="K238" s="41" t="str">
        <f>IFERROR(VLOOKUP(D238,List1!$J$5:$K$227,2,FALSE),"0")</f>
        <v>0</v>
      </c>
      <c r="L238" s="41" t="str">
        <f>IFERROR(VLOOKUP(D238,List1!$M$5:$N$112,2,FALSE),"0")</f>
        <v>0</v>
      </c>
      <c r="M238" s="44">
        <v>0</v>
      </c>
      <c r="N238" s="80">
        <f>VLOOKUP($D$5:$D$251,List2!$A$2:$B$241,2,FALSE)</f>
        <v>0</v>
      </c>
      <c r="O238" s="80">
        <f>IFERROR(VLOOKUP($D$5:$D$260,List1!$Y$5:$Z$244,2,FALSE),0)</f>
        <v>0</v>
      </c>
      <c r="P238" s="202">
        <f>IFERROR(VLOOKUP($D$5:$D$260,List1!$AB$5:$AC$244,2,FALSE),0)</f>
        <v>0</v>
      </c>
      <c r="Q238" s="201">
        <f>IFERROR(VLOOKUP($D$5:$D$260,List1!$S$5:$T$231,2,FALSE),0)</f>
        <v>220664</v>
      </c>
      <c r="R238" s="41">
        <v>0</v>
      </c>
      <c r="S238" s="41">
        <f>IFERROR(VLOOKUP($D$5:$D$260,List1!$AE$5:$AF$231,2,FALSE),0)</f>
        <v>50000</v>
      </c>
      <c r="T238" s="41">
        <f t="shared" si="27"/>
        <v>270664</v>
      </c>
      <c r="U238" s="41" t="str">
        <f>IFERROR(VLOOKUP(D238,List1!$P$5:$Q$110,2,FALSE),"0")</f>
        <v>0</v>
      </c>
      <c r="V238" s="41">
        <v>0</v>
      </c>
      <c r="W238" s="248">
        <v>0</v>
      </c>
      <c r="X238" s="211">
        <f t="shared" si="28"/>
        <v>270664</v>
      </c>
      <c r="Y238" s="219"/>
      <c r="Z238" s="80">
        <f>IFERROR(VLOOKUP($D$5:$D$260,#REF!,3,FALSE),0)</f>
        <v>0</v>
      </c>
      <c r="AA238" s="80">
        <f>IFERROR(VLOOKUP($D$5:$D$260,#REF!,3,FALSE),0)</f>
        <v>0</v>
      </c>
      <c r="AB238" s="243">
        <v>0</v>
      </c>
      <c r="AC238" s="202">
        <f t="shared" si="29"/>
        <v>0</v>
      </c>
      <c r="AD238" s="259">
        <f t="shared" si="30"/>
        <v>0</v>
      </c>
      <c r="AE238" s="260">
        <f t="shared" si="31"/>
        <v>0</v>
      </c>
      <c r="AF238" s="260">
        <f t="shared" si="32"/>
        <v>0</v>
      </c>
      <c r="AG238" s="260">
        <f t="shared" si="33"/>
        <v>0</v>
      </c>
    </row>
    <row r="239" spans="1:592" ht="31.5" x14ac:dyDescent="0.2">
      <c r="A239" s="10" t="s">
        <v>458</v>
      </c>
      <c r="B239" s="11">
        <v>25475894</v>
      </c>
      <c r="C239" s="11" t="s">
        <v>318</v>
      </c>
      <c r="D239" s="11">
        <v>2954592</v>
      </c>
      <c r="E239" s="228" t="s">
        <v>308</v>
      </c>
      <c r="F239" s="192" t="s">
        <v>300</v>
      </c>
      <c r="G239" s="201">
        <f>IFERROR(VLOOKUP(D239,List1!$A$5:$B$227,2,FALSE),"0")</f>
        <v>1110000</v>
      </c>
      <c r="H239" s="41" t="str">
        <f>IFERROR(VLOOKUP(D239,List1!$D$5:$E$41,2,FALSE),"0")</f>
        <v>0</v>
      </c>
      <c r="I239" s="41" t="str">
        <f>IFERROR(VLOOKUP(D239,List1!$G$5:$H$227,2,FALSE),"0")</f>
        <v>0</v>
      </c>
      <c r="J239" s="40">
        <f t="shared" si="26"/>
        <v>1110000</v>
      </c>
      <c r="K239" s="41" t="str">
        <f>IFERROR(VLOOKUP(D239,List1!$J$5:$K$227,2,FALSE),"0")</f>
        <v>0</v>
      </c>
      <c r="L239" s="41" t="str">
        <f>IFERROR(VLOOKUP(D239,List1!$M$5:$N$112,2,FALSE),"0")</f>
        <v>0</v>
      </c>
      <c r="M239" s="44">
        <v>0</v>
      </c>
      <c r="N239" s="80">
        <f>VLOOKUP($D$5:$D$251,List2!$A$2:$B$241,2,FALSE)</f>
        <v>57620</v>
      </c>
      <c r="O239" s="80">
        <f>IFERROR(VLOOKUP($D$5:$D$260,List1!$Y$5:$Z$244,2,FALSE),0)</f>
        <v>0</v>
      </c>
      <c r="P239" s="202">
        <f>IFERROR(VLOOKUP($D$5:$D$260,List1!$AB$5:$AC$244,2,FALSE),0)</f>
        <v>0</v>
      </c>
      <c r="Q239" s="201">
        <f>IFERROR(VLOOKUP($D$5:$D$260,List1!$S$5:$T$231,2,FALSE),0)</f>
        <v>1055567</v>
      </c>
      <c r="R239" s="41">
        <v>0</v>
      </c>
      <c r="S239" s="41">
        <f>IFERROR(VLOOKUP($D$5:$D$260,List1!$AE$5:$AF$231,2,FALSE),0)</f>
        <v>300000</v>
      </c>
      <c r="T239" s="41">
        <f t="shared" si="27"/>
        <v>1355567</v>
      </c>
      <c r="U239" s="41" t="str">
        <f>IFERROR(VLOOKUP(D239,List1!$P$5:$Q$110,2,FALSE),"0")</f>
        <v>0</v>
      </c>
      <c r="V239" s="41">
        <v>0</v>
      </c>
      <c r="W239" s="248">
        <v>0</v>
      </c>
      <c r="X239" s="211">
        <f t="shared" si="28"/>
        <v>1355567</v>
      </c>
      <c r="Y239" s="219"/>
      <c r="Z239" s="80">
        <f>IFERROR(VLOOKUP($D$5:$D$260,#REF!,3,FALSE),0)</f>
        <v>0</v>
      </c>
      <c r="AA239" s="80">
        <f>IFERROR(VLOOKUP($D$5:$D$260,#REF!,3,FALSE),0)</f>
        <v>0</v>
      </c>
      <c r="AB239" s="243">
        <v>0</v>
      </c>
      <c r="AC239" s="202">
        <f t="shared" si="29"/>
        <v>0</v>
      </c>
      <c r="AD239" s="259">
        <f t="shared" si="30"/>
        <v>0</v>
      </c>
      <c r="AE239" s="260">
        <f t="shared" si="31"/>
        <v>0</v>
      </c>
      <c r="AF239" s="260">
        <f t="shared" si="32"/>
        <v>0</v>
      </c>
      <c r="AG239" s="260">
        <f t="shared" si="33"/>
        <v>0</v>
      </c>
    </row>
    <row r="240" spans="1:592" ht="31.5" x14ac:dyDescent="0.2">
      <c r="A240" s="10" t="s">
        <v>458</v>
      </c>
      <c r="B240" s="11">
        <v>25475894</v>
      </c>
      <c r="C240" s="11" t="s">
        <v>318</v>
      </c>
      <c r="D240" s="11">
        <v>8340162</v>
      </c>
      <c r="E240" s="228" t="s">
        <v>343</v>
      </c>
      <c r="F240" s="192" t="s">
        <v>300</v>
      </c>
      <c r="G240" s="201">
        <f>IFERROR(VLOOKUP(D240,List1!$A$5:$B$227,2,FALSE),"0")</f>
        <v>911000</v>
      </c>
      <c r="H240" s="41" t="str">
        <f>IFERROR(VLOOKUP(D240,List1!$D$5:$E$41,2,FALSE),"0")</f>
        <v>0</v>
      </c>
      <c r="I240" s="41" t="str">
        <f>IFERROR(VLOOKUP(D240,List1!$G$5:$H$227,2,FALSE),"0")</f>
        <v>0</v>
      </c>
      <c r="J240" s="40">
        <f t="shared" si="26"/>
        <v>911000</v>
      </c>
      <c r="K240" s="41" t="str">
        <f>IFERROR(VLOOKUP(D240,List1!$J$5:$K$227,2,FALSE),"0")</f>
        <v>0</v>
      </c>
      <c r="L240" s="41" t="str">
        <f>IFERROR(VLOOKUP(D240,List1!$M$5:$N$112,2,FALSE),"0")</f>
        <v>0</v>
      </c>
      <c r="M240" s="44">
        <v>0</v>
      </c>
      <c r="N240" s="80">
        <f>VLOOKUP($D$5:$D$251,List2!$A$2:$B$241,2,FALSE)</f>
        <v>0</v>
      </c>
      <c r="O240" s="80">
        <f>IFERROR(VLOOKUP($D$5:$D$260,List1!$Y$5:$Z$244,2,FALSE),0)</f>
        <v>0</v>
      </c>
      <c r="P240" s="202">
        <f>IFERROR(VLOOKUP($D$5:$D$260,List1!$AB$5:$AC$244,2,FALSE),0)</f>
        <v>0</v>
      </c>
      <c r="Q240" s="201">
        <f>IFERROR(VLOOKUP($D$5:$D$260,List1!$S$5:$T$231,2,FALSE),0)</f>
        <v>864682</v>
      </c>
      <c r="R240" s="41">
        <v>0</v>
      </c>
      <c r="S240" s="41">
        <f>IFERROR(VLOOKUP($D$5:$D$260,List1!$AE$5:$AF$231,2,FALSE),0)</f>
        <v>250000</v>
      </c>
      <c r="T240" s="41">
        <f t="shared" si="27"/>
        <v>1114682</v>
      </c>
      <c r="U240" s="41" t="str">
        <f>IFERROR(VLOOKUP(D240,List1!$P$5:$Q$110,2,FALSE),"0")</f>
        <v>0</v>
      </c>
      <c r="V240" s="41">
        <v>0</v>
      </c>
      <c r="W240" s="248">
        <v>0</v>
      </c>
      <c r="X240" s="211">
        <f t="shared" si="28"/>
        <v>1114682</v>
      </c>
      <c r="Y240" s="219"/>
      <c r="Z240" s="80">
        <f>IFERROR(VLOOKUP($D$5:$D$260,#REF!,3,FALSE),0)</f>
        <v>0</v>
      </c>
      <c r="AA240" s="80">
        <f>IFERROR(VLOOKUP($D$5:$D$260,#REF!,3,FALSE),0)</f>
        <v>0</v>
      </c>
      <c r="AB240" s="243">
        <v>0</v>
      </c>
      <c r="AC240" s="202">
        <f t="shared" si="29"/>
        <v>0</v>
      </c>
      <c r="AD240" s="259">
        <f t="shared" si="30"/>
        <v>0</v>
      </c>
      <c r="AE240" s="260">
        <f t="shared" si="31"/>
        <v>0</v>
      </c>
      <c r="AF240" s="260">
        <f t="shared" si="32"/>
        <v>0</v>
      </c>
      <c r="AG240" s="260">
        <f t="shared" si="33"/>
        <v>0</v>
      </c>
    </row>
    <row r="241" spans="1:33" ht="31.5" x14ac:dyDescent="0.2">
      <c r="A241" s="10" t="s">
        <v>143</v>
      </c>
      <c r="B241" s="11">
        <v>26200481</v>
      </c>
      <c r="C241" s="11" t="s">
        <v>318</v>
      </c>
      <c r="D241" s="11">
        <v>3843439</v>
      </c>
      <c r="E241" s="228" t="s">
        <v>343</v>
      </c>
      <c r="F241" s="192" t="s">
        <v>300</v>
      </c>
      <c r="G241" s="201" t="str">
        <f>IFERROR(VLOOKUP(D241,List1!$A$5:$B$227,2,FALSE),"0")</f>
        <v>0</v>
      </c>
      <c r="H241" s="41" t="str">
        <f>IFERROR(VLOOKUP(D241,List1!$D$5:$E$41,2,FALSE),"0")</f>
        <v>0</v>
      </c>
      <c r="I241" s="41" t="str">
        <f>IFERROR(VLOOKUP(D241,List1!$G$5:$H$227,2,FALSE),"0")</f>
        <v>0</v>
      </c>
      <c r="J241" s="40">
        <f t="shared" si="26"/>
        <v>0</v>
      </c>
      <c r="K241" s="41">
        <f>IFERROR(VLOOKUP(D241,List1!$J$5:$K$227,2,FALSE),"0")</f>
        <v>32000</v>
      </c>
      <c r="L241" s="41" t="str">
        <f>IFERROR(VLOOKUP(D241,List1!$M$5:$N$112,2,FALSE),"0")</f>
        <v>0</v>
      </c>
      <c r="M241" s="44">
        <v>0</v>
      </c>
      <c r="N241" s="80">
        <f>VLOOKUP($D$5:$D$251,List2!$A$2:$B$241,2,FALSE)</f>
        <v>60000</v>
      </c>
      <c r="O241" s="80">
        <f>IFERROR(VLOOKUP($D$5:$D$260,List1!$Y$5:$Z$244,2,FALSE),0)</f>
        <v>0</v>
      </c>
      <c r="P241" s="202">
        <f>IFERROR(VLOOKUP($D$5:$D$260,List1!$AB$5:$AC$244,2,FALSE),0)</f>
        <v>0</v>
      </c>
      <c r="Q241" s="201">
        <f>IFERROR(VLOOKUP($D$5:$D$260,List1!$S$5:$T$231,2,FALSE),0)</f>
        <v>0</v>
      </c>
      <c r="R241" s="41">
        <v>0</v>
      </c>
      <c r="S241" s="41">
        <f>IFERROR(VLOOKUP($D$5:$D$260,List1!$AE$5:$AF$231,2,FALSE),0)</f>
        <v>0</v>
      </c>
      <c r="T241" s="41">
        <f t="shared" si="27"/>
        <v>0</v>
      </c>
      <c r="U241" s="41">
        <f>IFERROR(VLOOKUP(D241,List1!$P$5:$Q$110,2,FALSE),"0")</f>
        <v>99000</v>
      </c>
      <c r="V241" s="41">
        <v>0</v>
      </c>
      <c r="W241" s="248">
        <v>0</v>
      </c>
      <c r="X241" s="211">
        <f t="shared" si="28"/>
        <v>99000</v>
      </c>
      <c r="Y241" s="219"/>
      <c r="Z241" s="80">
        <f>IFERROR(VLOOKUP($D$5:$D$260,#REF!,3,FALSE),0)</f>
        <v>0</v>
      </c>
      <c r="AA241" s="80">
        <f>IFERROR(VLOOKUP($D$5:$D$260,#REF!,3,FALSE),0)</f>
        <v>0</v>
      </c>
      <c r="AB241" s="243">
        <v>0</v>
      </c>
      <c r="AC241" s="202">
        <f t="shared" si="29"/>
        <v>0</v>
      </c>
      <c r="AD241" s="259">
        <f t="shared" si="30"/>
        <v>-99000</v>
      </c>
      <c r="AE241" s="260">
        <f t="shared" si="31"/>
        <v>-1</v>
      </c>
      <c r="AF241" s="260">
        <f t="shared" si="32"/>
        <v>-1</v>
      </c>
      <c r="AG241" s="260">
        <f t="shared" si="33"/>
        <v>-1</v>
      </c>
    </row>
    <row r="242" spans="1:33" ht="31.5" x14ac:dyDescent="0.2">
      <c r="A242" s="10" t="s">
        <v>460</v>
      </c>
      <c r="B242" s="15" t="s">
        <v>461</v>
      </c>
      <c r="C242" s="11" t="s">
        <v>302</v>
      </c>
      <c r="D242" s="11">
        <v>5773192</v>
      </c>
      <c r="E242" s="225" t="s">
        <v>325</v>
      </c>
      <c r="F242" s="192" t="s">
        <v>294</v>
      </c>
      <c r="G242" s="201">
        <f>IFERROR(VLOOKUP(D242,List1!$A$5:$B$227,2,FALSE),"0")</f>
        <v>2599000</v>
      </c>
      <c r="H242" s="41" t="str">
        <f>IFERROR(VLOOKUP(D242,List1!$D$5:$E$41,2,FALSE),"0")</f>
        <v>0</v>
      </c>
      <c r="I242" s="41">
        <f>IFERROR(VLOOKUP(D242,List1!$G$5:$H$227,2,FALSE),"0")</f>
        <v>241773</v>
      </c>
      <c r="J242" s="40">
        <f t="shared" si="26"/>
        <v>2840773</v>
      </c>
      <c r="K242" s="41" t="str">
        <f>IFERROR(VLOOKUP(D242,List1!$J$5:$K$227,2,FALSE),"0")</f>
        <v>0</v>
      </c>
      <c r="L242" s="41" t="str">
        <f>IFERROR(VLOOKUP(D242,List1!$M$5:$N$112,2,FALSE),"0")</f>
        <v>0</v>
      </c>
      <c r="M242" s="44">
        <v>0</v>
      </c>
      <c r="N242" s="80">
        <f>VLOOKUP($D$5:$D$251,List2!$A$2:$B$241,2,FALSE)</f>
        <v>1083743</v>
      </c>
      <c r="O242" s="80">
        <f>IFERROR(VLOOKUP($D$5:$D$260,List1!$Y$5:$Z$244,2,FALSE),0)</f>
        <v>0</v>
      </c>
      <c r="P242" s="202">
        <f>IFERROR(VLOOKUP($D$5:$D$260,List1!$AB$5:$AC$244,2,FALSE),0)</f>
        <v>0</v>
      </c>
      <c r="Q242" s="201">
        <f>IFERROR(VLOOKUP($D$5:$D$260,List1!$S$5:$T$231,2,FALSE),0)</f>
        <v>2658311</v>
      </c>
      <c r="R242" s="41">
        <v>0</v>
      </c>
      <c r="S242" s="41">
        <f>IFERROR(VLOOKUP($D$5:$D$260,List1!$AE$5:$AF$231,2,FALSE),0)</f>
        <v>550000</v>
      </c>
      <c r="T242" s="41">
        <f t="shared" si="27"/>
        <v>3208311</v>
      </c>
      <c r="U242" s="41" t="str">
        <f>IFERROR(VLOOKUP(D242,List1!$P$5:$Q$110,2,FALSE),"0")</f>
        <v>0</v>
      </c>
      <c r="V242" s="41">
        <v>0</v>
      </c>
      <c r="W242" s="248">
        <v>0</v>
      </c>
      <c r="X242" s="211">
        <f t="shared" si="28"/>
        <v>3208311</v>
      </c>
      <c r="Y242" s="219"/>
      <c r="Z242" s="80">
        <f>IFERROR(VLOOKUP($D$5:$D$260,#REF!,3,FALSE),0)</f>
        <v>0</v>
      </c>
      <c r="AA242" s="80">
        <f>IFERROR(VLOOKUP($D$5:$D$260,#REF!,3,FALSE),0)</f>
        <v>0</v>
      </c>
      <c r="AB242" s="243">
        <v>0</v>
      </c>
      <c r="AC242" s="202">
        <f t="shared" si="29"/>
        <v>0</v>
      </c>
      <c r="AD242" s="259">
        <f t="shared" si="30"/>
        <v>0</v>
      </c>
      <c r="AE242" s="260">
        <f t="shared" si="31"/>
        <v>0</v>
      </c>
      <c r="AF242" s="260">
        <f t="shared" si="32"/>
        <v>0</v>
      </c>
      <c r="AG242" s="260">
        <f t="shared" si="33"/>
        <v>0</v>
      </c>
    </row>
    <row r="243" spans="1:33" ht="63" x14ac:dyDescent="0.2">
      <c r="A243" s="10" t="s">
        <v>462</v>
      </c>
      <c r="B243" s="15" t="s">
        <v>463</v>
      </c>
      <c r="C243" s="11" t="s">
        <v>324</v>
      </c>
      <c r="D243" s="11">
        <v>8719331</v>
      </c>
      <c r="E243" s="225" t="s">
        <v>325</v>
      </c>
      <c r="F243" s="192" t="s">
        <v>300</v>
      </c>
      <c r="G243" s="201">
        <f>IFERROR(VLOOKUP(D243,List1!$A$5:$B$227,2,FALSE),"0")</f>
        <v>6595000</v>
      </c>
      <c r="H243" s="41">
        <f>IFERROR(VLOOKUP(D243,List1!$D$5:$E$41,2,FALSE),"0")</f>
        <v>700000</v>
      </c>
      <c r="I243" s="41">
        <f>IFERROR(VLOOKUP(D243,List1!$G$5:$H$227,2,FALSE),"0")</f>
        <v>671531</v>
      </c>
      <c r="J243" s="40">
        <f t="shared" si="26"/>
        <v>7966531</v>
      </c>
      <c r="K243" s="41" t="str">
        <f>IFERROR(VLOOKUP(D243,List1!$J$5:$K$227,2,FALSE),"0")</f>
        <v>0</v>
      </c>
      <c r="L243" s="41" t="str">
        <f>IFERROR(VLOOKUP(D243,List1!$M$5:$N$112,2,FALSE),"0")</f>
        <v>0</v>
      </c>
      <c r="M243" s="44">
        <v>0</v>
      </c>
      <c r="N243" s="80">
        <f>VLOOKUP($D$5:$D$251,List2!$A$2:$B$241,2,FALSE)</f>
        <v>0</v>
      </c>
      <c r="O243" s="80">
        <f>IFERROR(VLOOKUP($D$5:$D$260,List1!$Y$5:$Z$244,2,FALSE),0)</f>
        <v>0</v>
      </c>
      <c r="P243" s="202">
        <f>IFERROR(VLOOKUP($D$5:$D$260,List1!$AB$5:$AC$244,2,FALSE),0)</f>
        <v>0</v>
      </c>
      <c r="Q243" s="201">
        <f>IFERROR(VLOOKUP($D$5:$D$260,List1!$S$5:$T$231,2,FALSE),0)</f>
        <v>6636946</v>
      </c>
      <c r="R243" s="41">
        <v>0</v>
      </c>
      <c r="S243" s="41">
        <f>IFERROR(VLOOKUP($D$5:$D$260,List1!$AE$5:$AF$231,2,FALSE),0)</f>
        <v>1300000</v>
      </c>
      <c r="T243" s="41">
        <f t="shared" si="27"/>
        <v>7936946</v>
      </c>
      <c r="U243" s="41" t="str">
        <f>IFERROR(VLOOKUP(D243,List1!$P$5:$Q$110,2,FALSE),"0")</f>
        <v>0</v>
      </c>
      <c r="V243" s="41">
        <v>0</v>
      </c>
      <c r="W243" s="248">
        <v>0</v>
      </c>
      <c r="X243" s="211">
        <f t="shared" si="28"/>
        <v>7936946</v>
      </c>
      <c r="Y243" s="219"/>
      <c r="Z243" s="80">
        <f>IFERROR(VLOOKUP($D$5:$D$260,#REF!,3,FALSE),0)</f>
        <v>0</v>
      </c>
      <c r="AA243" s="80">
        <f>IFERROR(VLOOKUP($D$5:$D$260,#REF!,3,FALSE),0)</f>
        <v>0</v>
      </c>
      <c r="AB243" s="243">
        <v>0</v>
      </c>
      <c r="AC243" s="202">
        <f t="shared" si="29"/>
        <v>0</v>
      </c>
      <c r="AD243" s="259">
        <f t="shared" si="30"/>
        <v>0</v>
      </c>
      <c r="AE243" s="260">
        <f t="shared" si="31"/>
        <v>0</v>
      </c>
      <c r="AF243" s="260">
        <f t="shared" si="32"/>
        <v>0</v>
      </c>
      <c r="AG243" s="260">
        <f t="shared" si="33"/>
        <v>0</v>
      </c>
    </row>
    <row r="244" spans="1:33" ht="63" x14ac:dyDescent="0.2">
      <c r="A244" s="10" t="s">
        <v>462</v>
      </c>
      <c r="B244" s="15" t="s">
        <v>463</v>
      </c>
      <c r="C244" s="11" t="s">
        <v>324</v>
      </c>
      <c r="D244" s="11">
        <v>3368051</v>
      </c>
      <c r="E244" s="225" t="s">
        <v>283</v>
      </c>
      <c r="F244" s="192" t="s">
        <v>278</v>
      </c>
      <c r="G244" s="201">
        <f>IFERROR(VLOOKUP(D244,List1!$A$5:$B$227,2,FALSE),"0")</f>
        <v>892000</v>
      </c>
      <c r="H244" s="41" t="str">
        <f>IFERROR(VLOOKUP(D244,List1!$D$5:$E$41,2,FALSE),"0")</f>
        <v>0</v>
      </c>
      <c r="I244" s="41">
        <f>IFERROR(VLOOKUP(D244,List1!$G$5:$H$227,2,FALSE),"0")</f>
        <v>150000</v>
      </c>
      <c r="J244" s="40">
        <f t="shared" si="26"/>
        <v>1042000</v>
      </c>
      <c r="K244" s="41" t="str">
        <f>IFERROR(VLOOKUP(D244,List1!$J$5:$K$227,2,FALSE),"0")</f>
        <v>0</v>
      </c>
      <c r="L244" s="41" t="str">
        <f>IFERROR(VLOOKUP(D244,List1!$M$5:$N$112,2,FALSE),"0")</f>
        <v>0</v>
      </c>
      <c r="M244" s="44">
        <v>0</v>
      </c>
      <c r="N244" s="80">
        <f>VLOOKUP($D$5:$D$251,List2!$A$2:$B$241,2,FALSE)</f>
        <v>0</v>
      </c>
      <c r="O244" s="80">
        <f>IFERROR(VLOOKUP($D$5:$D$260,List1!$Y$5:$Z$244,2,FALSE),0)</f>
        <v>0</v>
      </c>
      <c r="P244" s="202">
        <f>IFERROR(VLOOKUP($D$5:$D$260,List1!$AB$5:$AC$244,2,FALSE),0)</f>
        <v>0</v>
      </c>
      <c r="Q244" s="201">
        <f>IFERROR(VLOOKUP($D$5:$D$260,List1!$S$5:$T$231,2,FALSE),0)</f>
        <v>1290368</v>
      </c>
      <c r="R244" s="41">
        <v>0</v>
      </c>
      <c r="S244" s="41">
        <f>IFERROR(VLOOKUP($D$5:$D$260,List1!$AE$5:$AF$231,2,FALSE),0)</f>
        <v>193844</v>
      </c>
      <c r="T244" s="41">
        <f t="shared" si="27"/>
        <v>1484212</v>
      </c>
      <c r="U244" s="41" t="str">
        <f>IFERROR(VLOOKUP(D244,List1!$P$5:$Q$110,2,FALSE),"0")</f>
        <v>0</v>
      </c>
      <c r="V244" s="41">
        <v>0</v>
      </c>
      <c r="W244" s="248">
        <v>0</v>
      </c>
      <c r="X244" s="211">
        <f t="shared" si="28"/>
        <v>1484212</v>
      </c>
      <c r="Y244" s="219"/>
      <c r="Z244" s="80">
        <f>IFERROR(VLOOKUP($D$5:$D$260,#REF!,3,FALSE),0)</f>
        <v>0</v>
      </c>
      <c r="AA244" s="80">
        <f>IFERROR(VLOOKUP($D$5:$D$260,#REF!,3,FALSE),0)</f>
        <v>0</v>
      </c>
      <c r="AB244" s="243">
        <v>0</v>
      </c>
      <c r="AC244" s="202">
        <f t="shared" si="29"/>
        <v>0</v>
      </c>
      <c r="AD244" s="259">
        <f t="shared" si="30"/>
        <v>0</v>
      </c>
      <c r="AE244" s="260">
        <f t="shared" si="31"/>
        <v>0</v>
      </c>
      <c r="AF244" s="260">
        <f t="shared" si="32"/>
        <v>0</v>
      </c>
      <c r="AG244" s="260">
        <f t="shared" si="33"/>
        <v>0</v>
      </c>
    </row>
    <row r="245" spans="1:33" ht="63" x14ac:dyDescent="0.2">
      <c r="A245" s="10" t="s">
        <v>462</v>
      </c>
      <c r="B245" s="15" t="s">
        <v>463</v>
      </c>
      <c r="C245" s="11" t="s">
        <v>324</v>
      </c>
      <c r="D245" s="11">
        <v>9313088</v>
      </c>
      <c r="E245" s="225" t="s">
        <v>297</v>
      </c>
      <c r="F245" s="192" t="s">
        <v>269</v>
      </c>
      <c r="G245" s="201">
        <f>IFERROR(VLOOKUP(D245,List1!$A$5:$B$227,2,FALSE),"0")</f>
        <v>715000</v>
      </c>
      <c r="H245" s="41" t="str">
        <f>IFERROR(VLOOKUP(D245,List1!$D$5:$E$41,2,FALSE),"0")</f>
        <v>0</v>
      </c>
      <c r="I245" s="41">
        <f>IFERROR(VLOOKUP(D245,List1!$G$5:$H$227,2,FALSE),"0")</f>
        <v>49000</v>
      </c>
      <c r="J245" s="40">
        <f t="shared" si="26"/>
        <v>764000</v>
      </c>
      <c r="K245" s="41" t="str">
        <f>IFERROR(VLOOKUP(D245,List1!$J$5:$K$227,2,FALSE),"0")</f>
        <v>0</v>
      </c>
      <c r="L245" s="41" t="str">
        <f>IFERROR(VLOOKUP(D245,List1!$M$5:$N$112,2,FALSE),"0")</f>
        <v>0</v>
      </c>
      <c r="M245" s="44">
        <v>0</v>
      </c>
      <c r="N245" s="80">
        <f>VLOOKUP($D$5:$D$251,List2!$A$2:$B$241,2,FALSE)</f>
        <v>0</v>
      </c>
      <c r="O245" s="80">
        <f>IFERROR(VLOOKUP($D$5:$D$260,List1!$Y$5:$Z$244,2,FALSE),0)</f>
        <v>0</v>
      </c>
      <c r="P245" s="202">
        <f>IFERROR(VLOOKUP($D$5:$D$260,List1!$AB$5:$AC$244,2,FALSE),0)</f>
        <v>0</v>
      </c>
      <c r="Q245" s="201">
        <f>IFERROR(VLOOKUP($D$5:$D$260,List1!$S$5:$T$231,2,FALSE),0)</f>
        <v>667458</v>
      </c>
      <c r="R245" s="41">
        <v>0</v>
      </c>
      <c r="S245" s="41">
        <f>IFERROR(VLOOKUP($D$5:$D$260,List1!$AE$5:$AF$231,2,FALSE),0)</f>
        <v>150000</v>
      </c>
      <c r="T245" s="41">
        <f t="shared" si="27"/>
        <v>817458</v>
      </c>
      <c r="U245" s="41" t="str">
        <f>IFERROR(VLOOKUP(D245,List1!$P$5:$Q$110,2,FALSE),"0")</f>
        <v>0</v>
      </c>
      <c r="V245" s="41">
        <v>0</v>
      </c>
      <c r="W245" s="248">
        <v>0</v>
      </c>
      <c r="X245" s="211">
        <f t="shared" si="28"/>
        <v>817458</v>
      </c>
      <c r="Y245" s="219"/>
      <c r="Z245" s="80">
        <f>IFERROR(VLOOKUP($D$5:$D$260,#REF!,3,FALSE),0)</f>
        <v>0</v>
      </c>
      <c r="AA245" s="80">
        <f>IFERROR(VLOOKUP($D$5:$D$260,#REF!,3,FALSE),0)</f>
        <v>0</v>
      </c>
      <c r="AB245" s="243">
        <v>0</v>
      </c>
      <c r="AC245" s="202">
        <f t="shared" si="29"/>
        <v>0</v>
      </c>
      <c r="AD245" s="259">
        <f t="shared" si="30"/>
        <v>0</v>
      </c>
      <c r="AE245" s="260">
        <f t="shared" si="31"/>
        <v>0</v>
      </c>
      <c r="AF245" s="260">
        <f t="shared" si="32"/>
        <v>0</v>
      </c>
      <c r="AG245" s="260">
        <f t="shared" si="33"/>
        <v>0</v>
      </c>
    </row>
    <row r="246" spans="1:33" ht="63" x14ac:dyDescent="0.2">
      <c r="A246" s="10" t="s">
        <v>462</v>
      </c>
      <c r="B246" s="15" t="s">
        <v>463</v>
      </c>
      <c r="C246" s="11" t="s">
        <v>324</v>
      </c>
      <c r="D246" s="11">
        <v>4234054</v>
      </c>
      <c r="E246" s="225" t="s">
        <v>285</v>
      </c>
      <c r="F246" s="192" t="s">
        <v>278</v>
      </c>
      <c r="G246" s="201">
        <f>IFERROR(VLOOKUP(D246,List1!$A$5:$B$227,2,FALSE),"0")</f>
        <v>11282000</v>
      </c>
      <c r="H246" s="41" t="str">
        <f>IFERROR(VLOOKUP(D246,List1!$D$5:$E$41,2,FALSE),"0")</f>
        <v>0</v>
      </c>
      <c r="I246" s="41">
        <f>IFERROR(VLOOKUP(D246,List1!$G$5:$H$227,2,FALSE),"0")</f>
        <v>650644</v>
      </c>
      <c r="J246" s="40">
        <f t="shared" si="26"/>
        <v>11932644</v>
      </c>
      <c r="K246" s="41" t="str">
        <f>IFERROR(VLOOKUP(D246,List1!$J$5:$K$227,2,FALSE),"0")</f>
        <v>0</v>
      </c>
      <c r="L246" s="41">
        <f>IFERROR(VLOOKUP(D246,List1!$M$5:$N$112,2,FALSE),"0")</f>
        <v>290000</v>
      </c>
      <c r="M246" s="44">
        <v>0</v>
      </c>
      <c r="N246" s="80">
        <f>VLOOKUP($D$5:$D$251,List2!$A$2:$B$241,2,FALSE)</f>
        <v>0</v>
      </c>
      <c r="O246" s="80">
        <f>IFERROR(VLOOKUP($D$5:$D$260,List1!$Y$5:$Z$244,2,FALSE),0)</f>
        <v>0</v>
      </c>
      <c r="P246" s="202">
        <f>IFERROR(VLOOKUP($D$5:$D$260,List1!$AB$5:$AC$244,2,FALSE),0)</f>
        <v>0</v>
      </c>
      <c r="Q246" s="201">
        <f>IFERROR(VLOOKUP($D$5:$D$260,List1!$S$5:$T$231,2,FALSE),0)</f>
        <v>10451212</v>
      </c>
      <c r="R246" s="41">
        <v>0</v>
      </c>
      <c r="S246" s="41">
        <f>IFERROR(VLOOKUP($D$5:$D$260,List1!$AE$5:$AF$231,2,FALSE),0)</f>
        <v>1744598</v>
      </c>
      <c r="T246" s="41">
        <f t="shared" si="27"/>
        <v>12195810</v>
      </c>
      <c r="U246" s="41" t="str">
        <f>IFERROR(VLOOKUP(D246,List1!$P$5:$Q$110,2,FALSE),"0")</f>
        <v>0</v>
      </c>
      <c r="V246" s="41">
        <v>0</v>
      </c>
      <c r="W246" s="248">
        <v>0</v>
      </c>
      <c r="X246" s="211">
        <f t="shared" si="28"/>
        <v>12195810</v>
      </c>
      <c r="Y246" s="219"/>
      <c r="Z246" s="80">
        <f>IFERROR(VLOOKUP($D$5:$D$260,#REF!,3,FALSE),0)</f>
        <v>0</v>
      </c>
      <c r="AA246" s="80">
        <f>IFERROR(VLOOKUP($D$5:$D$260,#REF!,3,FALSE),0)</f>
        <v>0</v>
      </c>
      <c r="AB246" s="243">
        <v>0</v>
      </c>
      <c r="AC246" s="202">
        <f t="shared" si="29"/>
        <v>0</v>
      </c>
      <c r="AD246" s="259">
        <f t="shared" si="30"/>
        <v>0</v>
      </c>
      <c r="AE246" s="260">
        <f t="shared" si="31"/>
        <v>0</v>
      </c>
      <c r="AF246" s="260">
        <f t="shared" si="32"/>
        <v>0</v>
      </c>
      <c r="AG246" s="260">
        <f t="shared" si="33"/>
        <v>0</v>
      </c>
    </row>
    <row r="247" spans="1:33" ht="63" x14ac:dyDescent="0.2">
      <c r="A247" s="10" t="s">
        <v>462</v>
      </c>
      <c r="B247" s="15" t="s">
        <v>463</v>
      </c>
      <c r="C247" s="11" t="s">
        <v>324</v>
      </c>
      <c r="D247" s="11">
        <v>9274680</v>
      </c>
      <c r="E247" s="225" t="s">
        <v>290</v>
      </c>
      <c r="F247" s="192" t="s">
        <v>278</v>
      </c>
      <c r="G247" s="201">
        <f>IFERROR(VLOOKUP(D247,List1!$A$5:$B$227,2,FALSE),"0")</f>
        <v>5320000</v>
      </c>
      <c r="H247" s="41">
        <f>IFERROR(VLOOKUP(D247,List1!$D$5:$E$41,2,FALSE),"0")</f>
        <v>133400</v>
      </c>
      <c r="I247" s="41">
        <f>IFERROR(VLOOKUP(D247,List1!$G$5:$H$227,2,FALSE),"0")</f>
        <v>156600</v>
      </c>
      <c r="J247" s="40">
        <f t="shared" si="26"/>
        <v>5610000</v>
      </c>
      <c r="K247" s="41" t="str">
        <f>IFERROR(VLOOKUP(D247,List1!$J$5:$K$227,2,FALSE),"0")</f>
        <v>0</v>
      </c>
      <c r="L247" s="41" t="str">
        <f>IFERROR(VLOOKUP(D247,List1!$M$5:$N$112,2,FALSE),"0")</f>
        <v>0</v>
      </c>
      <c r="M247" s="44">
        <v>0</v>
      </c>
      <c r="N247" s="80">
        <f>VLOOKUP($D$5:$D$251,List2!$A$2:$B$241,2,FALSE)</f>
        <v>0</v>
      </c>
      <c r="O247" s="80">
        <f>IFERROR(VLOOKUP($D$5:$D$260,List1!$Y$5:$Z$244,2,FALSE),0)</f>
        <v>0</v>
      </c>
      <c r="P247" s="202">
        <f>IFERROR(VLOOKUP($D$5:$D$260,List1!$AB$5:$AC$244,2,FALSE),0)</f>
        <v>0</v>
      </c>
      <c r="Q247" s="201">
        <f>IFERROR(VLOOKUP($D$5:$D$260,List1!$S$5:$T$231,2,FALSE),0)</f>
        <v>6441086</v>
      </c>
      <c r="R247" s="41">
        <v>0</v>
      </c>
      <c r="S247" s="41">
        <f>IFERROR(VLOOKUP($D$5:$D$260,List1!$AE$5:$AF$231,2,FALSE),0)</f>
        <v>0</v>
      </c>
      <c r="T247" s="41">
        <f t="shared" si="27"/>
        <v>6441086</v>
      </c>
      <c r="U247" s="41" t="str">
        <f>IFERROR(VLOOKUP(D247,List1!$P$5:$Q$110,2,FALSE),"0")</f>
        <v>0</v>
      </c>
      <c r="V247" s="41">
        <v>0</v>
      </c>
      <c r="W247" s="248">
        <v>0</v>
      </c>
      <c r="X247" s="211">
        <f t="shared" si="28"/>
        <v>6441086</v>
      </c>
      <c r="Y247" s="219"/>
      <c r="Z247" s="80">
        <f>IFERROR(VLOOKUP($D$5:$D$260,#REF!,3,FALSE),0)</f>
        <v>0</v>
      </c>
      <c r="AA247" s="80">
        <f>IFERROR(VLOOKUP($D$5:$D$260,#REF!,3,FALSE),0)</f>
        <v>0</v>
      </c>
      <c r="AB247" s="243">
        <v>0</v>
      </c>
      <c r="AC247" s="202">
        <f t="shared" si="29"/>
        <v>0</v>
      </c>
      <c r="AD247" s="259">
        <f t="shared" si="30"/>
        <v>0</v>
      </c>
      <c r="AE247" s="260">
        <f t="shared" si="31"/>
        <v>0</v>
      </c>
      <c r="AF247" s="260">
        <f t="shared" si="32"/>
        <v>0</v>
      </c>
      <c r="AG247" s="260">
        <f t="shared" si="33"/>
        <v>0</v>
      </c>
    </row>
    <row r="248" spans="1:33" ht="21" x14ac:dyDescent="0.2">
      <c r="A248" s="10" t="s">
        <v>464</v>
      </c>
      <c r="B248" s="15" t="s">
        <v>465</v>
      </c>
      <c r="C248" s="11" t="s">
        <v>267</v>
      </c>
      <c r="D248" s="11">
        <v>2684509</v>
      </c>
      <c r="E248" s="225" t="s">
        <v>293</v>
      </c>
      <c r="F248" s="192" t="s">
        <v>294</v>
      </c>
      <c r="G248" s="201" t="str">
        <f>IFERROR(VLOOKUP(D248,List1!$A$5:$B$227,2,FALSE),"0")</f>
        <v>0</v>
      </c>
      <c r="H248" s="41" t="str">
        <f>IFERROR(VLOOKUP(D248,List1!$D$5:$E$41,2,FALSE),"0")</f>
        <v>0</v>
      </c>
      <c r="I248" s="41" t="str">
        <f>IFERROR(VLOOKUP(D248,List1!$G$5:$H$227,2,FALSE),"0")</f>
        <v>0</v>
      </c>
      <c r="J248" s="40">
        <f t="shared" si="26"/>
        <v>0</v>
      </c>
      <c r="K248" s="41" t="str">
        <f>IFERROR(VLOOKUP(D248,List1!$J$5:$K$227,2,FALSE),"0")</f>
        <v>0</v>
      </c>
      <c r="L248" s="41" t="str">
        <f>IFERROR(VLOOKUP(D248,List1!$M$5:$N$112,2,FALSE),"0")</f>
        <v>0</v>
      </c>
      <c r="M248" s="44">
        <v>0</v>
      </c>
      <c r="N248" s="80">
        <v>0</v>
      </c>
      <c r="O248" s="80">
        <f>IFERROR(VLOOKUP($D$5:$D$260,List1!$Y$5:$Z$244,2,FALSE),0)</f>
        <v>0</v>
      </c>
      <c r="P248" s="202">
        <f>IFERROR(VLOOKUP($D$5:$D$260,List1!$AB$5:$AC$244,2,FALSE),0)</f>
        <v>0</v>
      </c>
      <c r="Q248" s="201">
        <f>IFERROR(VLOOKUP($D$5:$D$260,List1!$S$5:$T$231,2,FALSE),0)</f>
        <v>0</v>
      </c>
      <c r="R248" s="41">
        <v>0</v>
      </c>
      <c r="S248" s="41">
        <f>IFERROR(VLOOKUP($D$5:$D$260,List1!$AE$5:$AF$231,2,FALSE),0)</f>
        <v>0</v>
      </c>
      <c r="T248" s="41">
        <f t="shared" si="27"/>
        <v>0</v>
      </c>
      <c r="U248" s="41" t="str">
        <f>IFERROR(VLOOKUP(D248,List1!$P$5:$Q$110,2,FALSE),"0")</f>
        <v>0</v>
      </c>
      <c r="V248" s="41">
        <v>0</v>
      </c>
      <c r="W248" s="248">
        <v>0</v>
      </c>
      <c r="X248" s="211">
        <f t="shared" si="28"/>
        <v>0</v>
      </c>
      <c r="Y248" s="219"/>
      <c r="Z248" s="80">
        <f>IFERROR(VLOOKUP($D$5:$D$260,#REF!,3,FALSE),0)</f>
        <v>0</v>
      </c>
      <c r="AA248" s="80">
        <f>IFERROR(VLOOKUP($D$5:$D$260,#REF!,3,FALSE),0)</f>
        <v>0</v>
      </c>
      <c r="AB248" s="243">
        <v>0</v>
      </c>
      <c r="AC248" s="202">
        <f t="shared" si="29"/>
        <v>0</v>
      </c>
      <c r="AD248" s="259">
        <f t="shared" si="30"/>
        <v>0</v>
      </c>
      <c r="AE248" s="260">
        <f t="shared" si="31"/>
        <v>0</v>
      </c>
      <c r="AF248" s="260">
        <f t="shared" si="32"/>
        <v>0</v>
      </c>
      <c r="AG248" s="260">
        <f t="shared" si="33"/>
        <v>0</v>
      </c>
    </row>
    <row r="249" spans="1:33" ht="21" x14ac:dyDescent="0.2">
      <c r="A249" s="66" t="s">
        <v>464</v>
      </c>
      <c r="B249" s="67" t="s">
        <v>465</v>
      </c>
      <c r="C249" s="68" t="s">
        <v>267</v>
      </c>
      <c r="D249" s="68">
        <v>4892203</v>
      </c>
      <c r="E249" s="229" t="s">
        <v>304</v>
      </c>
      <c r="F249" s="194" t="s">
        <v>294</v>
      </c>
      <c r="G249" s="204" t="str">
        <f>IFERROR(VLOOKUP(D249,List1!$A$5:$B$227,2,FALSE),"0")</f>
        <v>0</v>
      </c>
      <c r="H249" s="69" t="str">
        <f>IFERROR(VLOOKUP(D249,List1!$D$5:$E$41,2,FALSE),"0")</f>
        <v>0</v>
      </c>
      <c r="I249" s="69" t="str">
        <f>IFERROR(VLOOKUP(D249,List1!$G$5:$H$227,2,FALSE),"0")</f>
        <v>0</v>
      </c>
      <c r="J249" s="70">
        <f t="shared" si="26"/>
        <v>0</v>
      </c>
      <c r="K249" s="41" t="str">
        <f>IFERROR(VLOOKUP(D249,List1!$J$5:$K$227,2,FALSE),"0")</f>
        <v>0</v>
      </c>
      <c r="L249" s="69" t="str">
        <f>IFERROR(VLOOKUP(D249,List1!$M$5:$N$112,2,FALSE),"0")</f>
        <v>0</v>
      </c>
      <c r="M249" s="71">
        <v>0</v>
      </c>
      <c r="N249" s="80">
        <v>0</v>
      </c>
      <c r="O249" s="80">
        <f>IFERROR(VLOOKUP($D$5:$D$260,List1!$Y$5:$Z$244,2,FALSE),0)</f>
        <v>0</v>
      </c>
      <c r="P249" s="202">
        <f>IFERROR(VLOOKUP($D$5:$D$260,List1!$AB$5:$AC$244,2,FALSE),0)</f>
        <v>0</v>
      </c>
      <c r="Q249" s="201">
        <f>IFERROR(VLOOKUP($D$5:$D$260,List1!$S$5:$T$231,2,FALSE),0)</f>
        <v>0</v>
      </c>
      <c r="R249" s="41">
        <v>0</v>
      </c>
      <c r="S249" s="41">
        <f>IFERROR(VLOOKUP($D$5:$D$260,List1!$AE$5:$AF$231,2,FALSE),0)</f>
        <v>0</v>
      </c>
      <c r="T249" s="41">
        <f t="shared" si="27"/>
        <v>0</v>
      </c>
      <c r="U249" s="41" t="str">
        <f>IFERROR(VLOOKUP(D249,List1!$P$5:$Q$110,2,FALSE),"0")</f>
        <v>0</v>
      </c>
      <c r="V249" s="41">
        <v>0</v>
      </c>
      <c r="W249" s="248">
        <v>0</v>
      </c>
      <c r="X249" s="211">
        <f t="shared" si="28"/>
        <v>0</v>
      </c>
      <c r="Y249" s="219"/>
      <c r="Z249" s="80">
        <f>IFERROR(VLOOKUP($D$5:$D$260,#REF!,3,FALSE),0)</f>
        <v>0</v>
      </c>
      <c r="AA249" s="80">
        <f>IFERROR(VLOOKUP($D$5:$D$260,#REF!,3,FALSE),0)</f>
        <v>0</v>
      </c>
      <c r="AB249" s="243">
        <v>0</v>
      </c>
      <c r="AC249" s="202">
        <f t="shared" si="29"/>
        <v>0</v>
      </c>
      <c r="AD249" s="259">
        <f t="shared" si="30"/>
        <v>0</v>
      </c>
      <c r="AE249" s="260">
        <f t="shared" si="31"/>
        <v>0</v>
      </c>
      <c r="AF249" s="260">
        <f t="shared" si="32"/>
        <v>0</v>
      </c>
      <c r="AG249" s="260">
        <f t="shared" si="33"/>
        <v>0</v>
      </c>
    </row>
    <row r="250" spans="1:33" ht="22.5" x14ac:dyDescent="0.2">
      <c r="A250" s="72" t="s">
        <v>210</v>
      </c>
      <c r="B250" s="73">
        <v>27004295</v>
      </c>
      <c r="C250" s="73" t="s">
        <v>267</v>
      </c>
      <c r="D250" s="73">
        <v>8466886</v>
      </c>
      <c r="E250" s="241" t="s">
        <v>268</v>
      </c>
      <c r="F250" s="195"/>
      <c r="G250" s="205"/>
      <c r="H250" s="72"/>
      <c r="I250" s="72"/>
      <c r="J250" s="72"/>
      <c r="K250" s="72"/>
      <c r="L250" s="72"/>
      <c r="M250" s="72"/>
      <c r="N250" s="168">
        <f>VLOOKUP($D$5:$D$251,List2!$A$2:$B$241,2,FALSE)</f>
        <v>0</v>
      </c>
      <c r="O250" s="168">
        <f>IFERROR(VLOOKUP($D$5:$D$260,List1!$Y$5:$Z$244,2,FALSE),0)</f>
        <v>0</v>
      </c>
      <c r="P250" s="206">
        <v>0</v>
      </c>
      <c r="Q250" s="212">
        <f>IFERROR(VLOOKUP($D$5:$D$260,List1!$S$5:$T$231,2,FALSE),0)</f>
        <v>829522</v>
      </c>
      <c r="R250" s="169">
        <v>0</v>
      </c>
      <c r="S250" s="169">
        <f>IFERROR(VLOOKUP($D$5:$D$260,List1!$AE$5:$AF$231,2,FALSE),0)</f>
        <v>250000</v>
      </c>
      <c r="T250" s="169">
        <f t="shared" si="27"/>
        <v>1079522</v>
      </c>
      <c r="U250" s="74">
        <v>116000</v>
      </c>
      <c r="V250" s="74">
        <v>0</v>
      </c>
      <c r="W250" s="249">
        <v>0</v>
      </c>
      <c r="X250" s="213">
        <f t="shared" si="28"/>
        <v>1195522</v>
      </c>
      <c r="Y250" s="220"/>
      <c r="Z250" s="80">
        <f>IFERROR(VLOOKUP($D$5:$D$260,#REF!,3,FALSE),0)</f>
        <v>0</v>
      </c>
      <c r="AA250" s="80">
        <f>IFERROR(VLOOKUP($D$5:$D$260,#REF!,3,FALSE),0)</f>
        <v>0</v>
      </c>
      <c r="AB250" s="243">
        <v>0</v>
      </c>
      <c r="AC250" s="202">
        <f t="shared" si="29"/>
        <v>0</v>
      </c>
      <c r="AD250" s="259">
        <f t="shared" si="30"/>
        <v>-116000</v>
      </c>
      <c r="AE250" s="260">
        <f t="shared" si="31"/>
        <v>-1</v>
      </c>
      <c r="AF250" s="260">
        <f t="shared" si="32"/>
        <v>-1</v>
      </c>
      <c r="AG250" s="260">
        <f t="shared" si="33"/>
        <v>-1</v>
      </c>
    </row>
    <row r="251" spans="1:33" x14ac:dyDescent="0.2">
      <c r="A251" s="72" t="s">
        <v>215</v>
      </c>
      <c r="B251" s="73">
        <v>49295102</v>
      </c>
      <c r="C251" s="73" t="s">
        <v>288</v>
      </c>
      <c r="D251" s="73">
        <v>9909982</v>
      </c>
      <c r="E251" s="230" t="s">
        <v>343</v>
      </c>
      <c r="F251" s="195"/>
      <c r="G251" s="205"/>
      <c r="H251" s="72"/>
      <c r="I251" s="72"/>
      <c r="J251" s="72"/>
      <c r="K251" s="72"/>
      <c r="L251" s="72"/>
      <c r="M251" s="72"/>
      <c r="N251" s="168">
        <v>0</v>
      </c>
      <c r="O251" s="168">
        <f>IFERROR(VLOOKUP($D$5:$D$260,List1!$Y$5:$Z$244,2,FALSE),0)</f>
        <v>0</v>
      </c>
      <c r="P251" s="206">
        <v>0</v>
      </c>
      <c r="Q251" s="212">
        <f>IFERROR(VLOOKUP($D$5:$D$260,List1!$S$5:$T$231,2,FALSE),0)</f>
        <v>1106030</v>
      </c>
      <c r="R251" s="169">
        <v>0</v>
      </c>
      <c r="S251" s="169">
        <f>IFERROR(VLOOKUP($D$5:$D$260,List1!$AE$5:$AF$231,2,FALSE),0)</f>
        <v>300000</v>
      </c>
      <c r="T251" s="169">
        <f t="shared" si="27"/>
        <v>1406030</v>
      </c>
      <c r="U251" s="74">
        <v>168000</v>
      </c>
      <c r="V251" s="74">
        <v>0</v>
      </c>
      <c r="W251" s="249">
        <v>0</v>
      </c>
      <c r="X251" s="213">
        <f t="shared" si="28"/>
        <v>1574030</v>
      </c>
      <c r="Y251" s="220"/>
      <c r="Z251" s="80">
        <f>IFERROR(VLOOKUP($D$5:$D$260,#REF!,3,FALSE),0)</f>
        <v>0</v>
      </c>
      <c r="AA251" s="80">
        <f>IFERROR(VLOOKUP($D$5:$D$260,#REF!,3,FALSE),0)</f>
        <v>0</v>
      </c>
      <c r="AB251" s="243">
        <v>0</v>
      </c>
      <c r="AC251" s="202">
        <f t="shared" si="29"/>
        <v>0</v>
      </c>
      <c r="AD251" s="259">
        <f t="shared" si="30"/>
        <v>-168000</v>
      </c>
      <c r="AE251" s="260">
        <f t="shared" si="31"/>
        <v>-1</v>
      </c>
      <c r="AF251" s="260">
        <f t="shared" si="32"/>
        <v>-1</v>
      </c>
      <c r="AG251" s="260">
        <f t="shared" si="33"/>
        <v>-1</v>
      </c>
    </row>
    <row r="252" spans="1:33" ht="33.75" x14ac:dyDescent="0.2">
      <c r="A252" s="72" t="s">
        <v>146</v>
      </c>
      <c r="B252" s="73" t="s">
        <v>430</v>
      </c>
      <c r="C252" s="73" t="s">
        <v>340</v>
      </c>
      <c r="D252" s="73">
        <v>4785596</v>
      </c>
      <c r="E252" s="227" t="s">
        <v>290</v>
      </c>
      <c r="F252" s="195" t="s">
        <v>278</v>
      </c>
      <c r="G252" s="205"/>
      <c r="H252" s="72"/>
      <c r="I252" s="72"/>
      <c r="J252" s="72"/>
      <c r="K252" s="72"/>
      <c r="L252" s="72"/>
      <c r="M252" s="72"/>
      <c r="N252" s="72"/>
      <c r="O252" s="168">
        <f>IFERROR(VLOOKUP($D$5:$D$260,List1!$Y$5:$Z$244,2,FALSE),0)</f>
        <v>0</v>
      </c>
      <c r="P252" s="206">
        <v>0</v>
      </c>
      <c r="Q252" s="214">
        <f>IFERROR(VLOOKUP($D$5:$D$260,List1!$S$5:$T$231,2,FALSE),0)</f>
        <v>0</v>
      </c>
      <c r="R252" s="74">
        <v>6103691</v>
      </c>
      <c r="S252" s="74">
        <f>IFERROR(VLOOKUP($D$5:$D$260,List1!$AE$5:$AF$231,2,FALSE),0)</f>
        <v>0</v>
      </c>
      <c r="T252" s="74">
        <f t="shared" si="27"/>
        <v>6103691</v>
      </c>
      <c r="U252" s="74">
        <v>0</v>
      </c>
      <c r="V252" s="74">
        <v>1174645</v>
      </c>
      <c r="W252" s="249">
        <v>0</v>
      </c>
      <c r="X252" s="215">
        <f t="shared" si="28"/>
        <v>7278336</v>
      </c>
      <c r="Y252" s="221"/>
      <c r="Z252" s="80">
        <f>IFERROR(VLOOKUP($D$5:$D$260,#REF!,3,FALSE),0)</f>
        <v>0</v>
      </c>
      <c r="AA252" s="80">
        <f>IFERROR(VLOOKUP($D$5:$D$260,#REF!,3,FALSE),0)</f>
        <v>0</v>
      </c>
      <c r="AB252" s="243">
        <v>0</v>
      </c>
      <c r="AC252" s="202">
        <f t="shared" si="29"/>
        <v>0</v>
      </c>
      <c r="AD252" s="259">
        <f t="shared" si="30"/>
        <v>0</v>
      </c>
      <c r="AE252" s="260">
        <f t="shared" si="31"/>
        <v>0</v>
      </c>
      <c r="AF252" s="260">
        <f t="shared" si="32"/>
        <v>0</v>
      </c>
      <c r="AG252" s="260">
        <f t="shared" si="33"/>
        <v>0</v>
      </c>
    </row>
    <row r="253" spans="1:33" ht="22.5" x14ac:dyDescent="0.2">
      <c r="A253" s="72" t="s">
        <v>466</v>
      </c>
      <c r="B253" s="73" t="s">
        <v>467</v>
      </c>
      <c r="C253" s="73" t="s">
        <v>374</v>
      </c>
      <c r="D253" s="73">
        <v>4929866</v>
      </c>
      <c r="E253" s="227" t="s">
        <v>290</v>
      </c>
      <c r="F253" s="195" t="s">
        <v>278</v>
      </c>
      <c r="G253" s="205"/>
      <c r="H253" s="72"/>
      <c r="I253" s="72"/>
      <c r="J253" s="72"/>
      <c r="K253" s="72"/>
      <c r="L253" s="72"/>
      <c r="M253" s="72"/>
      <c r="N253" s="72"/>
      <c r="O253" s="168">
        <f>IFERROR(VLOOKUP($D$5:$D$260,List1!$Y$5:$Z$244,2,FALSE),0)</f>
        <v>0</v>
      </c>
      <c r="P253" s="206">
        <v>0</v>
      </c>
      <c r="Q253" s="214">
        <f>IFERROR(VLOOKUP($D$5:$D$260,List1!$S$5:$T$231,2,FALSE),0)</f>
        <v>0</v>
      </c>
      <c r="R253" s="74">
        <v>1806438</v>
      </c>
      <c r="S253" s="74">
        <f>IFERROR(VLOOKUP($D$5:$D$260,List1!$AE$5:$AF$231,2,FALSE),0)</f>
        <v>0</v>
      </c>
      <c r="T253" s="74">
        <f t="shared" si="27"/>
        <v>1806438</v>
      </c>
      <c r="U253" s="74">
        <v>0</v>
      </c>
      <c r="V253" s="74">
        <v>0</v>
      </c>
      <c r="W253" s="249">
        <v>0</v>
      </c>
      <c r="X253" s="215">
        <f t="shared" si="28"/>
        <v>1806438</v>
      </c>
      <c r="Y253" s="221"/>
      <c r="Z253" s="80">
        <f>IFERROR(VLOOKUP($D$5:$D$260,#REF!,3,FALSE),0)</f>
        <v>0</v>
      </c>
      <c r="AA253" s="80">
        <f>IFERROR(VLOOKUP($D$5:$D$260,#REF!,3,FALSE),0)</f>
        <v>0</v>
      </c>
      <c r="AB253" s="243">
        <v>0</v>
      </c>
      <c r="AC253" s="202">
        <f t="shared" si="29"/>
        <v>0</v>
      </c>
      <c r="AD253" s="259">
        <f t="shared" si="30"/>
        <v>0</v>
      </c>
      <c r="AE253" s="260">
        <f t="shared" si="31"/>
        <v>0</v>
      </c>
      <c r="AF253" s="260">
        <f t="shared" si="32"/>
        <v>0</v>
      </c>
      <c r="AG253" s="260">
        <f t="shared" si="33"/>
        <v>0</v>
      </c>
    </row>
    <row r="254" spans="1:33" ht="67.5" x14ac:dyDescent="0.2">
      <c r="A254" s="72" t="s">
        <v>468</v>
      </c>
      <c r="B254" s="73">
        <v>10898174</v>
      </c>
      <c r="C254" s="73" t="s">
        <v>324</v>
      </c>
      <c r="D254" s="73">
        <v>5448456</v>
      </c>
      <c r="E254" s="227" t="s">
        <v>285</v>
      </c>
      <c r="F254" s="195" t="s">
        <v>278</v>
      </c>
      <c r="G254" s="205"/>
      <c r="H254" s="72"/>
      <c r="I254" s="72"/>
      <c r="J254" s="72"/>
      <c r="K254" s="72"/>
      <c r="L254" s="72"/>
      <c r="M254" s="72"/>
      <c r="N254" s="72"/>
      <c r="O254" s="168">
        <f>IFERROR(VLOOKUP($D$5:$D$260,List1!$Y$5:$Z$244,2,FALSE),0)</f>
        <v>0</v>
      </c>
      <c r="P254" s="206">
        <v>0</v>
      </c>
      <c r="Q254" s="214">
        <f>IFERROR(VLOOKUP($D$5:$D$260,List1!$S$5:$T$231,2,FALSE),0)</f>
        <v>4943614</v>
      </c>
      <c r="R254" s="74">
        <v>0</v>
      </c>
      <c r="S254" s="74">
        <f>IFERROR(VLOOKUP($D$5:$D$260,List1!$AE$5:$AF$231,2,FALSE),0)</f>
        <v>484611</v>
      </c>
      <c r="T254" s="74">
        <f t="shared" si="27"/>
        <v>5428225</v>
      </c>
      <c r="U254" s="74">
        <v>0</v>
      </c>
      <c r="V254" s="74">
        <v>0</v>
      </c>
      <c r="W254" s="249">
        <v>0</v>
      </c>
      <c r="X254" s="215">
        <f t="shared" si="28"/>
        <v>5428225</v>
      </c>
      <c r="Y254" s="221"/>
      <c r="Z254" s="80">
        <f>IFERROR(VLOOKUP($D$5:$D$260,#REF!,3,FALSE),0)</f>
        <v>0</v>
      </c>
      <c r="AA254" s="80">
        <f>IFERROR(VLOOKUP($D$5:$D$260,#REF!,3,FALSE),0)</f>
        <v>0</v>
      </c>
      <c r="AB254" s="243">
        <v>0</v>
      </c>
      <c r="AC254" s="202">
        <f t="shared" si="29"/>
        <v>0</v>
      </c>
      <c r="AD254" s="259">
        <f t="shared" si="30"/>
        <v>0</v>
      </c>
      <c r="AE254" s="260">
        <f t="shared" si="31"/>
        <v>0</v>
      </c>
      <c r="AF254" s="260">
        <f t="shared" si="32"/>
        <v>0</v>
      </c>
      <c r="AG254" s="260">
        <f t="shared" si="33"/>
        <v>0</v>
      </c>
    </row>
    <row r="255" spans="1:33" ht="67.5" x14ac:dyDescent="0.2">
      <c r="A255" s="72" t="s">
        <v>468</v>
      </c>
      <c r="B255" s="73">
        <v>10898174</v>
      </c>
      <c r="C255" s="73" t="s">
        <v>324</v>
      </c>
      <c r="D255" s="73">
        <v>1979411</v>
      </c>
      <c r="E255" s="227" t="s">
        <v>290</v>
      </c>
      <c r="F255" s="195" t="s">
        <v>278</v>
      </c>
      <c r="G255" s="205"/>
      <c r="H255" s="72"/>
      <c r="I255" s="72"/>
      <c r="J255" s="72"/>
      <c r="K255" s="72"/>
      <c r="L255" s="72"/>
      <c r="M255" s="72"/>
      <c r="N255" s="72"/>
      <c r="O255" s="168">
        <f>IFERROR(VLOOKUP($D$5:$D$260,List1!$Y$5:$Z$244,2,FALSE),0)</f>
        <v>0</v>
      </c>
      <c r="P255" s="206">
        <v>0</v>
      </c>
      <c r="Q255" s="214">
        <f>IFERROR(VLOOKUP($D$5:$D$260,List1!$S$5:$T$231,2,FALSE),0)</f>
        <v>11650659</v>
      </c>
      <c r="R255" s="74">
        <v>0</v>
      </c>
      <c r="S255" s="74">
        <f>IFERROR(VLOOKUP($D$5:$D$260,List1!$AE$5:$AF$231,2,FALSE),0)</f>
        <v>969221</v>
      </c>
      <c r="T255" s="74">
        <f t="shared" si="27"/>
        <v>12619880</v>
      </c>
      <c r="U255" s="74">
        <v>0</v>
      </c>
      <c r="V255" s="74">
        <v>0</v>
      </c>
      <c r="W255" s="249">
        <v>0</v>
      </c>
      <c r="X255" s="215">
        <f t="shared" si="28"/>
        <v>12619880</v>
      </c>
      <c r="Y255" s="221"/>
      <c r="Z255" s="80">
        <f>IFERROR(VLOOKUP($D$5:$D$260,#REF!,3,FALSE),0)</f>
        <v>0</v>
      </c>
      <c r="AA255" s="80">
        <f>IFERROR(VLOOKUP($D$5:$D$260,#REF!,3,FALSE),0)</f>
        <v>0</v>
      </c>
      <c r="AB255" s="243">
        <v>0</v>
      </c>
      <c r="AC255" s="202">
        <f t="shared" si="29"/>
        <v>0</v>
      </c>
      <c r="AD255" s="259">
        <f t="shared" si="30"/>
        <v>0</v>
      </c>
      <c r="AE255" s="260">
        <f t="shared" si="31"/>
        <v>0</v>
      </c>
      <c r="AF255" s="260">
        <f t="shared" si="32"/>
        <v>0</v>
      </c>
      <c r="AG255" s="260">
        <f t="shared" si="33"/>
        <v>0</v>
      </c>
    </row>
    <row r="256" spans="1:33" ht="67.5" x14ac:dyDescent="0.2">
      <c r="A256" s="72" t="s">
        <v>469</v>
      </c>
      <c r="B256" s="73">
        <v>10808108</v>
      </c>
      <c r="C256" s="73" t="s">
        <v>324</v>
      </c>
      <c r="D256" s="73">
        <v>4193951</v>
      </c>
      <c r="E256" s="227" t="s">
        <v>285</v>
      </c>
      <c r="F256" s="195" t="s">
        <v>278</v>
      </c>
      <c r="G256" s="205"/>
      <c r="H256" s="72"/>
      <c r="I256" s="72"/>
      <c r="J256" s="72"/>
      <c r="K256" s="72"/>
      <c r="L256" s="72"/>
      <c r="M256" s="72"/>
      <c r="N256" s="72"/>
      <c r="O256" s="168">
        <f>IFERROR(VLOOKUP($D$5:$D$260,List1!$Y$5:$Z$244,2,FALSE),0)</f>
        <v>0</v>
      </c>
      <c r="P256" s="206">
        <v>0</v>
      </c>
      <c r="Q256" s="214">
        <f>IFERROR(VLOOKUP($D$5:$D$260,List1!$S$5:$T$231,2,FALSE),0)</f>
        <v>19481091</v>
      </c>
      <c r="R256" s="74">
        <v>0</v>
      </c>
      <c r="S256" s="74">
        <f>IFERROR(VLOOKUP($D$5:$D$260,List1!$AE$5:$AF$231,2,FALSE),0)</f>
        <v>1938442</v>
      </c>
      <c r="T256" s="74">
        <f t="shared" si="27"/>
        <v>21419533</v>
      </c>
      <c r="U256" s="74">
        <v>0</v>
      </c>
      <c r="V256" s="74">
        <v>0</v>
      </c>
      <c r="W256" s="249">
        <v>0</v>
      </c>
      <c r="X256" s="215">
        <f t="shared" si="28"/>
        <v>21419533</v>
      </c>
      <c r="Y256" s="221"/>
      <c r="Z256" s="80">
        <f>IFERROR(VLOOKUP($D$5:$D$260,#REF!,3,FALSE),0)</f>
        <v>0</v>
      </c>
      <c r="AA256" s="80">
        <f>IFERROR(VLOOKUP($D$5:$D$260,#REF!,3,FALSE),0)</f>
        <v>0</v>
      </c>
      <c r="AB256" s="243">
        <v>0</v>
      </c>
      <c r="AC256" s="202">
        <f t="shared" si="29"/>
        <v>0</v>
      </c>
      <c r="AD256" s="259">
        <f t="shared" si="30"/>
        <v>0</v>
      </c>
      <c r="AE256" s="260">
        <f t="shared" si="31"/>
        <v>0</v>
      </c>
      <c r="AF256" s="260">
        <f t="shared" si="32"/>
        <v>0</v>
      </c>
      <c r="AG256" s="260">
        <f t="shared" si="33"/>
        <v>0</v>
      </c>
    </row>
    <row r="257" spans="1:33" ht="67.5" x14ac:dyDescent="0.2">
      <c r="A257" s="72" t="s">
        <v>469</v>
      </c>
      <c r="B257" s="73">
        <v>10808108</v>
      </c>
      <c r="C257" s="73" t="s">
        <v>324</v>
      </c>
      <c r="D257" s="73">
        <v>8425917</v>
      </c>
      <c r="E257" s="227" t="s">
        <v>290</v>
      </c>
      <c r="F257" s="195" t="s">
        <v>278</v>
      </c>
      <c r="G257" s="205"/>
      <c r="H257" s="72"/>
      <c r="I257" s="72"/>
      <c r="J257" s="72"/>
      <c r="K257" s="72"/>
      <c r="L257" s="72"/>
      <c r="M257" s="72"/>
      <c r="N257" s="72"/>
      <c r="O257" s="168">
        <f>IFERROR(VLOOKUP($D$5:$D$260,List1!$Y$5:$Z$244,2,FALSE),0)</f>
        <v>0</v>
      </c>
      <c r="P257" s="206">
        <v>0</v>
      </c>
      <c r="Q257" s="214">
        <f>IFERROR(VLOOKUP($D$5:$D$260,List1!$S$5:$T$231,2,FALSE),0)</f>
        <v>8302937</v>
      </c>
      <c r="R257" s="74">
        <v>0</v>
      </c>
      <c r="S257" s="74">
        <f>IFERROR(VLOOKUP($D$5:$D$260,List1!$AE$5:$AF$231,2,FALSE),0)</f>
        <v>193844</v>
      </c>
      <c r="T257" s="74">
        <f t="shared" si="27"/>
        <v>8496781</v>
      </c>
      <c r="U257" s="74">
        <v>0</v>
      </c>
      <c r="V257" s="74">
        <v>0</v>
      </c>
      <c r="W257" s="249">
        <v>0</v>
      </c>
      <c r="X257" s="215">
        <f t="shared" si="28"/>
        <v>8496781</v>
      </c>
      <c r="Y257" s="221"/>
      <c r="Z257" s="80">
        <f>IFERROR(VLOOKUP($D$5:$D$260,#REF!,3,FALSE),0)</f>
        <v>0</v>
      </c>
      <c r="AA257" s="80">
        <f>IFERROR(VLOOKUP($D$5:$D$260,#REF!,3,FALSE),0)</f>
        <v>0</v>
      </c>
      <c r="AB257" s="243">
        <v>0</v>
      </c>
      <c r="AC257" s="202">
        <f t="shared" si="29"/>
        <v>0</v>
      </c>
      <c r="AD257" s="259">
        <f t="shared" si="30"/>
        <v>0</v>
      </c>
      <c r="AE257" s="260">
        <f t="shared" si="31"/>
        <v>0</v>
      </c>
      <c r="AF257" s="260">
        <f t="shared" si="32"/>
        <v>0</v>
      </c>
      <c r="AG257" s="260">
        <f t="shared" si="33"/>
        <v>0</v>
      </c>
    </row>
    <row r="258" spans="1:33" ht="33.75" x14ac:dyDescent="0.2">
      <c r="A258" s="72" t="s">
        <v>445</v>
      </c>
      <c r="B258" s="73" t="s">
        <v>470</v>
      </c>
      <c r="C258" s="73" t="s">
        <v>318</v>
      </c>
      <c r="D258" s="73">
        <v>1760206</v>
      </c>
      <c r="E258" s="227" t="s">
        <v>290</v>
      </c>
      <c r="F258" s="195" t="s">
        <v>278</v>
      </c>
      <c r="G258" s="205"/>
      <c r="H258" s="72"/>
      <c r="I258" s="72"/>
      <c r="J258" s="72"/>
      <c r="K258" s="72"/>
      <c r="L258" s="72"/>
      <c r="M258" s="72"/>
      <c r="N258" s="72"/>
      <c r="O258" s="168">
        <f>IFERROR(VLOOKUP($D$5:$D$260,List1!$Y$5:$Z$244,2,FALSE),0)</f>
        <v>0</v>
      </c>
      <c r="P258" s="206">
        <v>0</v>
      </c>
      <c r="Q258" s="214">
        <f>IFERROR(VLOOKUP($D$5:$D$260,List1!$S$5:$T$231,2,FALSE),0)</f>
        <v>8516077</v>
      </c>
      <c r="R258" s="74">
        <v>0</v>
      </c>
      <c r="S258" s="74">
        <f>IFERROR(VLOOKUP($D$5:$D$260,List1!$AE$5:$AF$231,2,FALSE),0)</f>
        <v>775377</v>
      </c>
      <c r="T258" s="74">
        <f t="shared" si="27"/>
        <v>9291454</v>
      </c>
      <c r="U258" s="74">
        <v>0</v>
      </c>
      <c r="V258" s="74">
        <v>0</v>
      </c>
      <c r="W258" s="249">
        <v>0</v>
      </c>
      <c r="X258" s="215">
        <f t="shared" si="28"/>
        <v>9291454</v>
      </c>
      <c r="Y258" s="221"/>
      <c r="Z258" s="80">
        <f>IFERROR(VLOOKUP($D$5:$D$260,#REF!,3,FALSE),0)</f>
        <v>0</v>
      </c>
      <c r="AA258" s="80">
        <f>IFERROR(VLOOKUP($D$5:$D$260,#REF!,3,FALSE),0)</f>
        <v>0</v>
      </c>
      <c r="AB258" s="243">
        <v>0</v>
      </c>
      <c r="AC258" s="202">
        <f t="shared" si="29"/>
        <v>0</v>
      </c>
      <c r="AD258" s="259">
        <f t="shared" si="30"/>
        <v>0</v>
      </c>
      <c r="AE258" s="260">
        <f t="shared" si="31"/>
        <v>0</v>
      </c>
      <c r="AF258" s="260">
        <f t="shared" si="32"/>
        <v>0</v>
      </c>
      <c r="AG258" s="260">
        <f t="shared" si="33"/>
        <v>0</v>
      </c>
    </row>
    <row r="259" spans="1:33" ht="67.5" x14ac:dyDescent="0.2">
      <c r="A259" s="72" t="s">
        <v>454</v>
      </c>
      <c r="B259" s="73">
        <v>75143861</v>
      </c>
      <c r="C259" s="73" t="s">
        <v>324</v>
      </c>
      <c r="D259" s="73">
        <v>4290863</v>
      </c>
      <c r="E259" s="241" t="s">
        <v>268</v>
      </c>
      <c r="F259" s="195" t="s">
        <v>300</v>
      </c>
      <c r="G259" s="205"/>
      <c r="H259" s="72"/>
      <c r="I259" s="72"/>
      <c r="J259" s="72"/>
      <c r="K259" s="72"/>
      <c r="L259" s="72"/>
      <c r="M259" s="72"/>
      <c r="N259" s="72"/>
      <c r="O259" s="168">
        <f>IFERROR(VLOOKUP($D$5:$D$260,List1!$Y$5:$Z$244,2,FALSE),0)</f>
        <v>0</v>
      </c>
      <c r="P259" s="206">
        <v>0</v>
      </c>
      <c r="Q259" s="214">
        <f>IFERROR(VLOOKUP($D$5:$D$260,List1!$S$5:$T$231,2,FALSE),0)</f>
        <v>0</v>
      </c>
      <c r="R259" s="74">
        <v>0</v>
      </c>
      <c r="S259" s="74">
        <f>IFERROR(VLOOKUP($D$5:$D$260,List1!$AE$5:$AF$231,2,FALSE),0)</f>
        <v>0</v>
      </c>
      <c r="T259" s="74">
        <f t="shared" si="27"/>
        <v>0</v>
      </c>
      <c r="U259" s="74">
        <v>0</v>
      </c>
      <c r="V259" s="74">
        <v>0</v>
      </c>
      <c r="W259" s="249">
        <v>0</v>
      </c>
      <c r="X259" s="215">
        <f t="shared" si="28"/>
        <v>0</v>
      </c>
      <c r="Y259" s="221"/>
      <c r="Z259" s="80">
        <f>IFERROR(VLOOKUP($D$5:$D$260,#REF!,3,FALSE),0)</f>
        <v>0</v>
      </c>
      <c r="AA259" s="80">
        <f>IFERROR(VLOOKUP($D$5:$D$260,#REF!,3,FALSE),0)</f>
        <v>0</v>
      </c>
      <c r="AB259" s="243">
        <v>0</v>
      </c>
      <c r="AC259" s="202">
        <f t="shared" si="29"/>
        <v>0</v>
      </c>
      <c r="AD259" s="259">
        <f t="shared" si="30"/>
        <v>0</v>
      </c>
      <c r="AE259" s="260">
        <f t="shared" si="31"/>
        <v>0</v>
      </c>
      <c r="AF259" s="260">
        <f t="shared" si="32"/>
        <v>0</v>
      </c>
      <c r="AG259" s="260">
        <f t="shared" si="33"/>
        <v>0</v>
      </c>
    </row>
    <row r="260" spans="1:33" ht="23.25" thickBot="1" x14ac:dyDescent="0.25">
      <c r="A260" s="72" t="s">
        <v>471</v>
      </c>
      <c r="B260" s="73">
        <v>60498021</v>
      </c>
      <c r="C260" s="73" t="s">
        <v>472</v>
      </c>
      <c r="D260" s="73">
        <v>3867796</v>
      </c>
      <c r="E260" s="241" t="s">
        <v>268</v>
      </c>
      <c r="F260" s="195" t="s">
        <v>300</v>
      </c>
      <c r="G260" s="207"/>
      <c r="H260" s="208"/>
      <c r="I260" s="208"/>
      <c r="J260" s="208"/>
      <c r="K260" s="208"/>
      <c r="L260" s="208"/>
      <c r="M260" s="208"/>
      <c r="N260" s="208"/>
      <c r="O260" s="209">
        <f>IFERROR(VLOOKUP($D$5:$D$260,List1!$Y$5:$Z$244,2,FALSE),0)</f>
        <v>0</v>
      </c>
      <c r="P260" s="210">
        <v>0</v>
      </c>
      <c r="Q260" s="216">
        <f>IFERROR(VLOOKUP($D$5:$D$260,List1!$S$5:$T$231,2,FALSE),0)</f>
        <v>0</v>
      </c>
      <c r="R260" s="217">
        <v>0</v>
      </c>
      <c r="S260" s="217">
        <f>IFERROR(VLOOKUP($D$5:$D$260,List1!$AE$5:$AF$231,2,FALSE),0)</f>
        <v>0</v>
      </c>
      <c r="T260" s="217">
        <f t="shared" si="27"/>
        <v>0</v>
      </c>
      <c r="U260" s="217">
        <v>0</v>
      </c>
      <c r="V260" s="217">
        <v>0</v>
      </c>
      <c r="W260" s="250">
        <v>0</v>
      </c>
      <c r="X260" s="218">
        <f t="shared" si="28"/>
        <v>0</v>
      </c>
      <c r="Y260" s="222"/>
      <c r="Z260" s="223">
        <f>IFERROR(VLOOKUP($D$5:$D$260,#REF!,3,FALSE),0)</f>
        <v>0</v>
      </c>
      <c r="AA260" s="223">
        <f>IFERROR(VLOOKUP($D$5:$D$260,#REF!,3,FALSE),0)</f>
        <v>0</v>
      </c>
      <c r="AB260" s="244">
        <v>0</v>
      </c>
      <c r="AC260" s="224">
        <f t="shared" si="29"/>
        <v>0</v>
      </c>
      <c r="AD260" s="259">
        <f t="shared" si="30"/>
        <v>0</v>
      </c>
      <c r="AE260" s="260">
        <f t="shared" si="31"/>
        <v>0</v>
      </c>
      <c r="AF260" s="260">
        <f t="shared" si="32"/>
        <v>0</v>
      </c>
      <c r="AG260" s="260">
        <f t="shared" si="33"/>
        <v>0</v>
      </c>
    </row>
  </sheetData>
  <autoFilter ref="A4:WG260" xr:uid="{00000000-0009-0000-0000-000000000000}"/>
  <mergeCells count="1">
    <mergeCell ref="AK5:AW5"/>
  </mergeCells>
  <conditionalFormatting sqref="D5:D260">
    <cfRule type="duplicateValues" dxfId="0" priority="6"/>
  </conditionalFormatting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 xml:space="preserve">&amp;LPříloha ke krajské Žádosti o dotaci ze státního rozpočtu na podporu sociálních služeb v roce 2021&amp;R
</oddHeader>
    <oddFooter>&amp;R&amp;P</oddFooter>
  </headerFooter>
  <rowBreaks count="2" manualBreakCount="2">
    <brk id="197" max="28" man="1"/>
    <brk id="216" max="2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1C8B2-8BC3-40A1-9392-23AFC3F2A944}">
  <dimension ref="A1:S238"/>
  <sheetViews>
    <sheetView workbookViewId="0">
      <selection activeCell="H6" sqref="H6:H238"/>
    </sheetView>
  </sheetViews>
  <sheetFormatPr defaultRowHeight="15" x14ac:dyDescent="0.25"/>
  <cols>
    <col min="3" max="3" width="11.85546875" customWidth="1"/>
    <col min="4" max="4" width="12.140625" customWidth="1"/>
    <col min="5" max="5" width="23.42578125" bestFit="1" customWidth="1"/>
    <col min="6" max="6" width="7.7109375" customWidth="1"/>
    <col min="7" max="7" width="11.7109375" customWidth="1"/>
    <col min="8" max="8" width="7.85546875" customWidth="1"/>
    <col min="9" max="9" width="22.7109375" customWidth="1"/>
    <col min="10" max="10" width="11.42578125" hidden="1" customWidth="1"/>
    <col min="11" max="11" width="14.5703125" customWidth="1"/>
    <col min="12" max="14" width="13" customWidth="1"/>
    <col min="15" max="16" width="14.5703125" customWidth="1"/>
    <col min="17" max="18" width="13" customWidth="1"/>
    <col min="19" max="19" width="14.140625" customWidth="1"/>
  </cols>
  <sheetData>
    <row r="1" spans="1:19" ht="15.75" thickBot="1" x14ac:dyDescent="0.3"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O1">
        <v>8</v>
      </c>
    </row>
    <row r="2" spans="1:19" x14ac:dyDescent="0.25">
      <c r="H2" s="261">
        <f>SUBTOTAL(3,H6:H238)</f>
        <v>233</v>
      </c>
      <c r="Q2" s="395" t="s">
        <v>798</v>
      </c>
      <c r="R2" s="396"/>
    </row>
    <row r="3" spans="1:19" x14ac:dyDescent="0.25">
      <c r="L3" s="262" t="s">
        <v>233</v>
      </c>
      <c r="M3" s="262" t="s">
        <v>233</v>
      </c>
      <c r="N3" s="262" t="s">
        <v>233</v>
      </c>
      <c r="O3" s="263" t="s">
        <v>799</v>
      </c>
      <c r="Q3" s="397"/>
      <c r="R3" s="398"/>
    </row>
    <row r="4" spans="1:19" ht="15.75" thickBot="1" x14ac:dyDescent="0.3">
      <c r="K4" s="264">
        <f>SUBTOTAL(9,K6:K238)</f>
        <v>1028066185</v>
      </c>
      <c r="L4" s="264">
        <f t="shared" ref="L4:P4" si="0">SUBTOTAL(9,L6:L238)</f>
        <v>33694669</v>
      </c>
      <c r="M4" s="264">
        <f t="shared" si="0"/>
        <v>22714163</v>
      </c>
      <c r="N4" s="264">
        <f t="shared" si="0"/>
        <v>56408832</v>
      </c>
      <c r="O4" s="264">
        <f t="shared" si="0"/>
        <v>56408832</v>
      </c>
      <c r="P4" s="264">
        <f t="shared" si="0"/>
        <v>1028066185</v>
      </c>
      <c r="Q4" s="399"/>
      <c r="R4" s="400"/>
    </row>
    <row r="5" spans="1:19" ht="32.25" thickBot="1" x14ac:dyDescent="0.3">
      <c r="A5" s="265" t="s">
        <v>499</v>
      </c>
      <c r="B5" s="266" t="s">
        <v>800</v>
      </c>
      <c r="C5" s="266" t="s">
        <v>801</v>
      </c>
      <c r="D5" s="267" t="s">
        <v>802</v>
      </c>
      <c r="E5" s="268" t="s">
        <v>238</v>
      </c>
      <c r="F5" s="269" t="s">
        <v>2</v>
      </c>
      <c r="G5" s="269" t="s">
        <v>239</v>
      </c>
      <c r="H5" s="269" t="s">
        <v>240</v>
      </c>
      <c r="I5" s="269" t="s">
        <v>241</v>
      </c>
      <c r="J5" s="269" t="s">
        <v>242</v>
      </c>
      <c r="K5" s="269" t="s">
        <v>803</v>
      </c>
      <c r="L5" s="269" t="s">
        <v>804</v>
      </c>
      <c r="M5" s="269" t="s">
        <v>805</v>
      </c>
      <c r="N5" s="269" t="s">
        <v>806</v>
      </c>
      <c r="O5" s="269" t="s">
        <v>807</v>
      </c>
      <c r="P5" s="270" t="s">
        <v>482</v>
      </c>
      <c r="Q5" s="271" t="s">
        <v>808</v>
      </c>
      <c r="R5" s="272" t="s">
        <v>809</v>
      </c>
      <c r="S5" s="273" t="s">
        <v>810</v>
      </c>
    </row>
    <row r="6" spans="1:19" ht="15" customHeight="1" x14ac:dyDescent="0.25">
      <c r="A6" s="274">
        <v>4312</v>
      </c>
      <c r="B6" s="275">
        <v>5221</v>
      </c>
      <c r="C6" s="275" t="s">
        <v>811</v>
      </c>
      <c r="D6" s="275" t="s">
        <v>812</v>
      </c>
      <c r="E6" s="276" t="s">
        <v>266</v>
      </c>
      <c r="F6" s="275">
        <v>65635591</v>
      </c>
      <c r="G6" s="277" t="s">
        <v>267</v>
      </c>
      <c r="H6" s="275">
        <v>6552817</v>
      </c>
      <c r="I6" s="276" t="s">
        <v>813</v>
      </c>
      <c r="J6" s="275"/>
      <c r="K6" s="278">
        <v>3116400</v>
      </c>
      <c r="L6" s="278"/>
      <c r="M6" s="278"/>
      <c r="N6" s="278"/>
      <c r="O6" s="279" t="s">
        <v>814</v>
      </c>
      <c r="P6" s="280">
        <f>K6-L6+O6</f>
        <v>3116400</v>
      </c>
      <c r="Q6" s="274"/>
      <c r="R6" s="281"/>
      <c r="S6" s="282"/>
    </row>
    <row r="7" spans="1:19" ht="15" customHeight="1" x14ac:dyDescent="0.25">
      <c r="A7" s="283">
        <v>4350</v>
      </c>
      <c r="B7" s="284">
        <v>5213</v>
      </c>
      <c r="C7" s="284" t="s">
        <v>815</v>
      </c>
      <c r="D7" s="284" t="s">
        <v>816</v>
      </c>
      <c r="E7" s="285" t="s">
        <v>280</v>
      </c>
      <c r="F7" s="284">
        <v>24160369</v>
      </c>
      <c r="G7" s="286" t="s">
        <v>282</v>
      </c>
      <c r="H7" s="284">
        <v>4530859</v>
      </c>
      <c r="I7" s="285" t="s">
        <v>817</v>
      </c>
      <c r="J7" s="284"/>
      <c r="K7" s="287">
        <v>6108695</v>
      </c>
      <c r="L7" s="287"/>
      <c r="M7" s="287"/>
      <c r="N7" s="287"/>
      <c r="O7" s="288" t="s">
        <v>814</v>
      </c>
      <c r="P7" s="289">
        <f t="shared" ref="P7:P70" si="1">K7-L7+O7</f>
        <v>6108695</v>
      </c>
      <c r="Q7" s="283"/>
      <c r="R7" s="290"/>
      <c r="S7" s="291"/>
    </row>
    <row r="8" spans="1:19" ht="15" customHeight="1" x14ac:dyDescent="0.25">
      <c r="A8" s="283">
        <v>4359</v>
      </c>
      <c r="B8" s="284">
        <v>5213</v>
      </c>
      <c r="C8" s="284" t="s">
        <v>815</v>
      </c>
      <c r="D8" s="284" t="s">
        <v>816</v>
      </c>
      <c r="E8" s="285" t="s">
        <v>280</v>
      </c>
      <c r="F8" s="284">
        <v>24160369</v>
      </c>
      <c r="G8" s="286" t="s">
        <v>282</v>
      </c>
      <c r="H8" s="284">
        <v>9450189</v>
      </c>
      <c r="I8" s="285" t="s">
        <v>818</v>
      </c>
      <c r="J8" s="284"/>
      <c r="K8" s="287">
        <v>1864380</v>
      </c>
      <c r="L8" s="287"/>
      <c r="M8" s="287"/>
      <c r="N8" s="287"/>
      <c r="O8" s="288" t="s">
        <v>814</v>
      </c>
      <c r="P8" s="289">
        <f t="shared" si="1"/>
        <v>1864380</v>
      </c>
      <c r="Q8" s="283"/>
      <c r="R8" s="290"/>
      <c r="S8" s="291"/>
    </row>
    <row r="9" spans="1:19" ht="15" customHeight="1" x14ac:dyDescent="0.25">
      <c r="A9" s="283">
        <v>4356</v>
      </c>
      <c r="B9" s="284">
        <v>5222</v>
      </c>
      <c r="C9" s="284" t="s">
        <v>819</v>
      </c>
      <c r="D9" s="284" t="s">
        <v>820</v>
      </c>
      <c r="E9" s="285" t="s">
        <v>821</v>
      </c>
      <c r="F9" s="284">
        <v>44224711</v>
      </c>
      <c r="G9" s="286" t="s">
        <v>288</v>
      </c>
      <c r="H9" s="284">
        <v>5293571</v>
      </c>
      <c r="I9" s="285" t="s">
        <v>822</v>
      </c>
      <c r="J9" s="284"/>
      <c r="K9" s="287">
        <v>3105900</v>
      </c>
      <c r="L9" s="287"/>
      <c r="M9" s="287"/>
      <c r="N9" s="287"/>
      <c r="O9" s="288" t="s">
        <v>814</v>
      </c>
      <c r="P9" s="289">
        <f t="shared" si="1"/>
        <v>3105900</v>
      </c>
      <c r="Q9" s="283"/>
      <c r="R9" s="290"/>
      <c r="S9" s="291"/>
    </row>
    <row r="10" spans="1:19" ht="15" customHeight="1" x14ac:dyDescent="0.25">
      <c r="A10" s="283">
        <v>4357</v>
      </c>
      <c r="B10" s="284">
        <v>5221</v>
      </c>
      <c r="C10" s="284" t="s">
        <v>823</v>
      </c>
      <c r="D10" s="284" t="s">
        <v>824</v>
      </c>
      <c r="E10" s="285" t="s">
        <v>466</v>
      </c>
      <c r="F10" s="284">
        <v>3593207</v>
      </c>
      <c r="G10" s="286" t="s">
        <v>267</v>
      </c>
      <c r="H10" s="284">
        <v>1824704</v>
      </c>
      <c r="I10" s="285" t="s">
        <v>825</v>
      </c>
      <c r="J10" s="284"/>
      <c r="K10" s="287">
        <v>20709938</v>
      </c>
      <c r="L10" s="287"/>
      <c r="M10" s="287"/>
      <c r="N10" s="287"/>
      <c r="O10" s="288" t="s">
        <v>814</v>
      </c>
      <c r="P10" s="289">
        <f t="shared" si="1"/>
        <v>20709938</v>
      </c>
      <c r="Q10" s="283"/>
      <c r="R10" s="290"/>
      <c r="S10" s="291"/>
    </row>
    <row r="11" spans="1:19" ht="15" customHeight="1" x14ac:dyDescent="0.25">
      <c r="A11" s="283">
        <v>4350</v>
      </c>
      <c r="B11" s="284">
        <v>5221</v>
      </c>
      <c r="C11" s="284" t="s">
        <v>823</v>
      </c>
      <c r="D11" s="284" t="s">
        <v>824</v>
      </c>
      <c r="E11" s="285" t="s">
        <v>466</v>
      </c>
      <c r="F11" s="284">
        <v>3593207</v>
      </c>
      <c r="G11" s="286" t="s">
        <v>267</v>
      </c>
      <c r="H11" s="284">
        <v>3663466</v>
      </c>
      <c r="I11" s="285" t="s">
        <v>817</v>
      </c>
      <c r="J11" s="284"/>
      <c r="K11" s="287">
        <v>3510000</v>
      </c>
      <c r="L11" s="287"/>
      <c r="M11" s="287"/>
      <c r="N11" s="287"/>
      <c r="O11" s="288" t="s">
        <v>814</v>
      </c>
      <c r="P11" s="289">
        <f t="shared" si="1"/>
        <v>3510000</v>
      </c>
      <c r="Q11" s="283"/>
      <c r="R11" s="290"/>
      <c r="S11" s="291"/>
    </row>
    <row r="12" spans="1:19" ht="15" customHeight="1" x14ac:dyDescent="0.25">
      <c r="A12" s="283">
        <v>4357</v>
      </c>
      <c r="B12" s="284">
        <v>5221</v>
      </c>
      <c r="C12" s="284" t="s">
        <v>823</v>
      </c>
      <c r="D12" s="284" t="s">
        <v>824</v>
      </c>
      <c r="E12" s="285" t="s">
        <v>466</v>
      </c>
      <c r="F12" s="284">
        <v>3593207</v>
      </c>
      <c r="G12" s="286" t="s">
        <v>267</v>
      </c>
      <c r="H12" s="284">
        <v>4929866</v>
      </c>
      <c r="I12" s="285" t="s">
        <v>825</v>
      </c>
      <c r="J12" s="284"/>
      <c r="K12" s="287">
        <v>3335722</v>
      </c>
      <c r="L12" s="287"/>
      <c r="M12" s="287"/>
      <c r="N12" s="287"/>
      <c r="O12" s="288" t="s">
        <v>814</v>
      </c>
      <c r="P12" s="289">
        <f t="shared" si="1"/>
        <v>3335722</v>
      </c>
      <c r="Q12" s="283"/>
      <c r="R12" s="290"/>
      <c r="S12" s="291"/>
    </row>
    <row r="13" spans="1:19" ht="22.5" customHeight="1" x14ac:dyDescent="0.25">
      <c r="A13" s="283">
        <v>4356</v>
      </c>
      <c r="B13" s="284">
        <v>5336</v>
      </c>
      <c r="C13" s="284" t="s">
        <v>826</v>
      </c>
      <c r="D13" s="284" t="s">
        <v>827</v>
      </c>
      <c r="E13" s="285" t="s">
        <v>295</v>
      </c>
      <c r="F13" s="284">
        <v>71220071</v>
      </c>
      <c r="G13" s="286" t="s">
        <v>324</v>
      </c>
      <c r="H13" s="284">
        <v>3190180</v>
      </c>
      <c r="I13" s="285" t="s">
        <v>828</v>
      </c>
      <c r="J13" s="284"/>
      <c r="K13" s="287">
        <v>2907048</v>
      </c>
      <c r="L13" s="287"/>
      <c r="M13" s="287"/>
      <c r="N13" s="287"/>
      <c r="O13" s="288" t="s">
        <v>814</v>
      </c>
      <c r="P13" s="289">
        <f t="shared" si="1"/>
        <v>2907048</v>
      </c>
      <c r="Q13" s="283"/>
      <c r="R13" s="290"/>
      <c r="S13" s="291"/>
    </row>
    <row r="14" spans="1:19" ht="22.5" customHeight="1" x14ac:dyDescent="0.25">
      <c r="A14" s="283">
        <v>4357</v>
      </c>
      <c r="B14" s="284">
        <v>5336</v>
      </c>
      <c r="C14" s="284" t="s">
        <v>826</v>
      </c>
      <c r="D14" s="284" t="s">
        <v>827</v>
      </c>
      <c r="E14" s="285" t="s">
        <v>295</v>
      </c>
      <c r="F14" s="284">
        <v>71220071</v>
      </c>
      <c r="G14" s="286" t="s">
        <v>324</v>
      </c>
      <c r="H14" s="284">
        <v>4094333</v>
      </c>
      <c r="I14" s="285" t="s">
        <v>829</v>
      </c>
      <c r="J14" s="284"/>
      <c r="K14" s="287">
        <v>12076886</v>
      </c>
      <c r="L14" s="287"/>
      <c r="M14" s="287"/>
      <c r="N14" s="287"/>
      <c r="O14" s="288" t="s">
        <v>814</v>
      </c>
      <c r="P14" s="289">
        <f t="shared" si="1"/>
        <v>12076886</v>
      </c>
      <c r="Q14" s="283"/>
      <c r="R14" s="290"/>
      <c r="S14" s="291"/>
    </row>
    <row r="15" spans="1:19" ht="15" customHeight="1" x14ac:dyDescent="0.25">
      <c r="A15" s="283">
        <v>4356</v>
      </c>
      <c r="B15" s="284">
        <v>5213</v>
      </c>
      <c r="C15" s="284" t="s">
        <v>830</v>
      </c>
      <c r="D15" s="284" t="s">
        <v>831</v>
      </c>
      <c r="E15" s="285" t="s">
        <v>832</v>
      </c>
      <c r="F15" s="284">
        <v>4570243</v>
      </c>
      <c r="G15" s="286" t="s">
        <v>302</v>
      </c>
      <c r="H15" s="284">
        <v>7885329</v>
      </c>
      <c r="I15" s="285" t="s">
        <v>822</v>
      </c>
      <c r="J15" s="284"/>
      <c r="K15" s="287">
        <v>2512872</v>
      </c>
      <c r="L15" s="287"/>
      <c r="M15" s="287"/>
      <c r="N15" s="287"/>
      <c r="O15" s="288">
        <v>890000</v>
      </c>
      <c r="P15" s="289">
        <f>K15-L15+O15</f>
        <v>3402872</v>
      </c>
      <c r="Q15" s="283"/>
      <c r="R15" s="290"/>
      <c r="S15" s="291"/>
    </row>
    <row r="16" spans="1:19" ht="22.5" customHeight="1" x14ac:dyDescent="0.25">
      <c r="A16" s="283">
        <v>4379</v>
      </c>
      <c r="B16" s="284">
        <v>5336</v>
      </c>
      <c r="C16" s="284" t="s">
        <v>833</v>
      </c>
      <c r="D16" s="284" t="s">
        <v>834</v>
      </c>
      <c r="E16" s="285" t="s">
        <v>303</v>
      </c>
      <c r="F16" s="284">
        <v>70868476</v>
      </c>
      <c r="G16" s="286" t="s">
        <v>324</v>
      </c>
      <c r="H16" s="284">
        <v>1701584</v>
      </c>
      <c r="I16" s="285" t="s">
        <v>835</v>
      </c>
      <c r="J16" s="284"/>
      <c r="K16" s="287">
        <v>1636033</v>
      </c>
      <c r="L16" s="287"/>
      <c r="M16" s="287"/>
      <c r="N16" s="287"/>
      <c r="O16" s="288" t="s">
        <v>814</v>
      </c>
      <c r="P16" s="289">
        <f t="shared" si="1"/>
        <v>1636033</v>
      </c>
      <c r="Q16" s="283"/>
      <c r="R16" s="290"/>
      <c r="S16" s="291"/>
    </row>
    <row r="17" spans="1:19" ht="22.5" customHeight="1" x14ac:dyDescent="0.25">
      <c r="A17" s="283">
        <v>4312</v>
      </c>
      <c r="B17" s="284">
        <v>5336</v>
      </c>
      <c r="C17" s="284" t="s">
        <v>833</v>
      </c>
      <c r="D17" s="284" t="s">
        <v>834</v>
      </c>
      <c r="E17" s="285" t="s">
        <v>303</v>
      </c>
      <c r="F17" s="284">
        <v>70868476</v>
      </c>
      <c r="G17" s="286" t="s">
        <v>324</v>
      </c>
      <c r="H17" s="284">
        <v>2632467</v>
      </c>
      <c r="I17" s="285" t="s">
        <v>813</v>
      </c>
      <c r="J17" s="284"/>
      <c r="K17" s="287">
        <v>4729763</v>
      </c>
      <c r="L17" s="287"/>
      <c r="M17" s="287"/>
      <c r="N17" s="287"/>
      <c r="O17" s="288" t="s">
        <v>814</v>
      </c>
      <c r="P17" s="289">
        <f t="shared" si="1"/>
        <v>4729763</v>
      </c>
      <c r="Q17" s="283"/>
      <c r="R17" s="290"/>
      <c r="S17" s="291"/>
    </row>
    <row r="18" spans="1:19" ht="22.5" customHeight="1" x14ac:dyDescent="0.25">
      <c r="A18" s="283">
        <v>4312</v>
      </c>
      <c r="B18" s="284">
        <v>5336</v>
      </c>
      <c r="C18" s="284" t="s">
        <v>833</v>
      </c>
      <c r="D18" s="284" t="s">
        <v>834</v>
      </c>
      <c r="E18" s="285" t="s">
        <v>303</v>
      </c>
      <c r="F18" s="284">
        <v>70868476</v>
      </c>
      <c r="G18" s="286" t="s">
        <v>324</v>
      </c>
      <c r="H18" s="284">
        <v>4337287</v>
      </c>
      <c r="I18" s="285" t="s">
        <v>813</v>
      </c>
      <c r="J18" s="284"/>
      <c r="K18" s="287">
        <v>2381400</v>
      </c>
      <c r="L18" s="287"/>
      <c r="M18" s="287"/>
      <c r="N18" s="287"/>
      <c r="O18" s="288" t="s">
        <v>814</v>
      </c>
      <c r="P18" s="289">
        <f t="shared" si="1"/>
        <v>2381400</v>
      </c>
      <c r="Q18" s="283"/>
      <c r="R18" s="290"/>
      <c r="S18" s="291"/>
    </row>
    <row r="19" spans="1:19" ht="22.5" customHeight="1" x14ac:dyDescent="0.25">
      <c r="A19" s="283">
        <v>4379</v>
      </c>
      <c r="B19" s="284">
        <v>5336</v>
      </c>
      <c r="C19" s="284" t="s">
        <v>833</v>
      </c>
      <c r="D19" s="284" t="s">
        <v>834</v>
      </c>
      <c r="E19" s="285" t="s">
        <v>303</v>
      </c>
      <c r="F19" s="284">
        <v>70868476</v>
      </c>
      <c r="G19" s="286" t="s">
        <v>324</v>
      </c>
      <c r="H19" s="284">
        <v>5393471</v>
      </c>
      <c r="I19" s="285" t="s">
        <v>836</v>
      </c>
      <c r="J19" s="284"/>
      <c r="K19" s="287">
        <v>2824800</v>
      </c>
      <c r="L19" s="287"/>
      <c r="M19" s="287"/>
      <c r="N19" s="287"/>
      <c r="O19" s="288" t="s">
        <v>814</v>
      </c>
      <c r="P19" s="289">
        <f t="shared" si="1"/>
        <v>2824800</v>
      </c>
      <c r="Q19" s="283"/>
      <c r="R19" s="290"/>
      <c r="S19" s="291"/>
    </row>
    <row r="20" spans="1:19" ht="22.5" customHeight="1" x14ac:dyDescent="0.25">
      <c r="A20" s="283">
        <v>4312</v>
      </c>
      <c r="B20" s="284">
        <v>5336</v>
      </c>
      <c r="C20" s="284" t="s">
        <v>833</v>
      </c>
      <c r="D20" s="284" t="s">
        <v>834</v>
      </c>
      <c r="E20" s="285" t="s">
        <v>303</v>
      </c>
      <c r="F20" s="284">
        <v>70868476</v>
      </c>
      <c r="G20" s="286" t="s">
        <v>324</v>
      </c>
      <c r="H20" s="284">
        <v>5833201</v>
      </c>
      <c r="I20" s="285" t="s">
        <v>813</v>
      </c>
      <c r="J20" s="284"/>
      <c r="K20" s="287">
        <v>2499000</v>
      </c>
      <c r="L20" s="287"/>
      <c r="M20" s="287"/>
      <c r="N20" s="287"/>
      <c r="O20" s="288" t="s">
        <v>814</v>
      </c>
      <c r="P20" s="289">
        <f t="shared" si="1"/>
        <v>2499000</v>
      </c>
      <c r="Q20" s="283"/>
      <c r="R20" s="290"/>
      <c r="S20" s="291"/>
    </row>
    <row r="21" spans="1:19" ht="15" customHeight="1" x14ac:dyDescent="0.25">
      <c r="A21" s="283">
        <v>4371</v>
      </c>
      <c r="B21" s="284">
        <v>5221</v>
      </c>
      <c r="C21" s="284" t="s">
        <v>837</v>
      </c>
      <c r="D21" s="284" t="s">
        <v>838</v>
      </c>
      <c r="E21" s="285" t="s">
        <v>75</v>
      </c>
      <c r="F21" s="284">
        <v>28731191</v>
      </c>
      <c r="G21" s="286" t="s">
        <v>267</v>
      </c>
      <c r="H21" s="284">
        <v>3959325</v>
      </c>
      <c r="I21" s="285" t="s">
        <v>839</v>
      </c>
      <c r="J21" s="284"/>
      <c r="K21" s="287">
        <v>11107800</v>
      </c>
      <c r="L21" s="287"/>
      <c r="M21" s="287"/>
      <c r="N21" s="287"/>
      <c r="O21" s="288" t="s">
        <v>814</v>
      </c>
      <c r="P21" s="289">
        <f t="shared" si="1"/>
        <v>11107800</v>
      </c>
      <c r="Q21" s="283"/>
      <c r="R21" s="290"/>
      <c r="S21" s="291"/>
    </row>
    <row r="22" spans="1:19" ht="22.5" customHeight="1" x14ac:dyDescent="0.25">
      <c r="A22" s="283">
        <v>4371</v>
      </c>
      <c r="B22" s="284">
        <v>5221</v>
      </c>
      <c r="C22" s="284" t="s">
        <v>837</v>
      </c>
      <c r="D22" s="284" t="s">
        <v>838</v>
      </c>
      <c r="E22" s="285" t="s">
        <v>75</v>
      </c>
      <c r="F22" s="284">
        <v>28731191</v>
      </c>
      <c r="G22" s="286" t="s">
        <v>267</v>
      </c>
      <c r="H22" s="284">
        <v>4823957</v>
      </c>
      <c r="I22" s="285" t="s">
        <v>840</v>
      </c>
      <c r="J22" s="284"/>
      <c r="K22" s="287">
        <v>6285600</v>
      </c>
      <c r="L22" s="287"/>
      <c r="M22" s="287"/>
      <c r="N22" s="287"/>
      <c r="O22" s="288" t="s">
        <v>814</v>
      </c>
      <c r="P22" s="289">
        <f t="shared" si="1"/>
        <v>6285600</v>
      </c>
      <c r="Q22" s="283"/>
      <c r="R22" s="290"/>
      <c r="S22" s="291"/>
    </row>
    <row r="23" spans="1:19" ht="22.5" customHeight="1" x14ac:dyDescent="0.25">
      <c r="A23" s="283">
        <v>4359</v>
      </c>
      <c r="B23" s="284">
        <v>5221</v>
      </c>
      <c r="C23" s="284" t="s">
        <v>841</v>
      </c>
      <c r="D23" s="284" t="s">
        <v>842</v>
      </c>
      <c r="E23" s="285" t="s">
        <v>33</v>
      </c>
      <c r="F23" s="284">
        <v>26593980</v>
      </c>
      <c r="G23" s="286" t="s">
        <v>318</v>
      </c>
      <c r="H23" s="284">
        <v>1656576</v>
      </c>
      <c r="I23" s="285" t="s">
        <v>818</v>
      </c>
      <c r="J23" s="284"/>
      <c r="K23" s="287">
        <v>1127616</v>
      </c>
      <c r="L23" s="287"/>
      <c r="M23" s="287"/>
      <c r="N23" s="287"/>
      <c r="O23" s="288">
        <v>621426</v>
      </c>
      <c r="P23" s="289">
        <f t="shared" si="1"/>
        <v>1749042</v>
      </c>
      <c r="Q23" s="283"/>
      <c r="R23" s="290"/>
      <c r="S23" s="291"/>
    </row>
    <row r="24" spans="1:19" ht="22.5" customHeight="1" x14ac:dyDescent="0.25">
      <c r="A24" s="283">
        <v>4312</v>
      </c>
      <c r="B24" s="284">
        <v>5221</v>
      </c>
      <c r="C24" s="284" t="s">
        <v>841</v>
      </c>
      <c r="D24" s="284" t="s">
        <v>842</v>
      </c>
      <c r="E24" s="285" t="s">
        <v>33</v>
      </c>
      <c r="F24" s="284">
        <v>26593980</v>
      </c>
      <c r="G24" s="286" t="s">
        <v>318</v>
      </c>
      <c r="H24" s="284">
        <v>1840164</v>
      </c>
      <c r="I24" s="285" t="s">
        <v>813</v>
      </c>
      <c r="J24" s="284"/>
      <c r="K24" s="287">
        <v>138180</v>
      </c>
      <c r="L24" s="287"/>
      <c r="M24" s="287"/>
      <c r="N24" s="287"/>
      <c r="O24" s="288" t="s">
        <v>814</v>
      </c>
      <c r="P24" s="289">
        <f t="shared" si="1"/>
        <v>138180</v>
      </c>
      <c r="Q24" s="283"/>
      <c r="R24" s="290"/>
      <c r="S24" s="291"/>
    </row>
    <row r="25" spans="1:19" ht="22.5" customHeight="1" x14ac:dyDescent="0.25">
      <c r="A25" s="283">
        <v>4359</v>
      </c>
      <c r="B25" s="284">
        <v>5221</v>
      </c>
      <c r="C25" s="284" t="s">
        <v>841</v>
      </c>
      <c r="D25" s="284" t="s">
        <v>842</v>
      </c>
      <c r="E25" s="285" t="s">
        <v>33</v>
      </c>
      <c r="F25" s="284">
        <v>26593980</v>
      </c>
      <c r="G25" s="286" t="s">
        <v>318</v>
      </c>
      <c r="H25" s="284">
        <v>2164863</v>
      </c>
      <c r="I25" s="285" t="s">
        <v>818</v>
      </c>
      <c r="J25" s="284"/>
      <c r="K25" s="287">
        <v>684624</v>
      </c>
      <c r="L25" s="287"/>
      <c r="M25" s="287"/>
      <c r="N25" s="287"/>
      <c r="O25" s="288">
        <v>363618</v>
      </c>
      <c r="P25" s="289">
        <f t="shared" si="1"/>
        <v>1048242</v>
      </c>
      <c r="Q25" s="283"/>
      <c r="R25" s="290"/>
      <c r="S25" s="291"/>
    </row>
    <row r="26" spans="1:19" ht="22.5" customHeight="1" x14ac:dyDescent="0.25">
      <c r="A26" s="283">
        <v>4379</v>
      </c>
      <c r="B26" s="284">
        <v>5221</v>
      </c>
      <c r="C26" s="284" t="s">
        <v>841</v>
      </c>
      <c r="D26" s="284" t="s">
        <v>842</v>
      </c>
      <c r="E26" s="285" t="s">
        <v>33</v>
      </c>
      <c r="F26" s="284">
        <v>26593980</v>
      </c>
      <c r="G26" s="286" t="s">
        <v>318</v>
      </c>
      <c r="H26" s="284">
        <v>2453453</v>
      </c>
      <c r="I26" s="285" t="s">
        <v>843</v>
      </c>
      <c r="J26" s="284"/>
      <c r="K26" s="287">
        <v>891000</v>
      </c>
      <c r="L26" s="287"/>
      <c r="M26" s="287"/>
      <c r="N26" s="287"/>
      <c r="O26" s="288">
        <v>390842</v>
      </c>
      <c r="P26" s="289">
        <f t="shared" si="1"/>
        <v>1281842</v>
      </c>
      <c r="Q26" s="283"/>
      <c r="R26" s="290"/>
      <c r="S26" s="291"/>
    </row>
    <row r="27" spans="1:19" ht="22.5" customHeight="1" x14ac:dyDescent="0.25">
      <c r="A27" s="283">
        <v>4351</v>
      </c>
      <c r="B27" s="284">
        <v>5221</v>
      </c>
      <c r="C27" s="284" t="s">
        <v>841</v>
      </c>
      <c r="D27" s="284" t="s">
        <v>842</v>
      </c>
      <c r="E27" s="285" t="s">
        <v>33</v>
      </c>
      <c r="F27" s="284">
        <v>26593980</v>
      </c>
      <c r="G27" s="286" t="s">
        <v>318</v>
      </c>
      <c r="H27" s="284">
        <v>3852372</v>
      </c>
      <c r="I27" s="285" t="s">
        <v>844</v>
      </c>
      <c r="J27" s="284"/>
      <c r="K27" s="287">
        <v>4317456</v>
      </c>
      <c r="L27" s="287"/>
      <c r="M27" s="287"/>
      <c r="N27" s="287"/>
      <c r="O27" s="288">
        <v>2974786</v>
      </c>
      <c r="P27" s="289">
        <f t="shared" si="1"/>
        <v>7292242</v>
      </c>
      <c r="Q27" s="283"/>
      <c r="R27" s="290"/>
      <c r="S27" s="291"/>
    </row>
    <row r="28" spans="1:19" ht="22.5" customHeight="1" x14ac:dyDescent="0.25">
      <c r="A28" s="283">
        <v>4312</v>
      </c>
      <c r="B28" s="284">
        <v>5221</v>
      </c>
      <c r="C28" s="284" t="s">
        <v>841</v>
      </c>
      <c r="D28" s="284" t="s">
        <v>842</v>
      </c>
      <c r="E28" s="285" t="s">
        <v>33</v>
      </c>
      <c r="F28" s="284">
        <v>26593980</v>
      </c>
      <c r="G28" s="286" t="s">
        <v>318</v>
      </c>
      <c r="H28" s="284">
        <v>4148036</v>
      </c>
      <c r="I28" s="285" t="s">
        <v>813</v>
      </c>
      <c r="J28" s="284"/>
      <c r="K28" s="287">
        <v>92400</v>
      </c>
      <c r="L28" s="287"/>
      <c r="M28" s="287"/>
      <c r="N28" s="287"/>
      <c r="O28" s="288" t="s">
        <v>814</v>
      </c>
      <c r="P28" s="289">
        <f t="shared" si="1"/>
        <v>92400</v>
      </c>
      <c r="Q28" s="283"/>
      <c r="R28" s="290"/>
      <c r="S28" s="291"/>
    </row>
    <row r="29" spans="1:19" ht="22.5" customHeight="1" x14ac:dyDescent="0.25">
      <c r="A29" s="283">
        <v>4359</v>
      </c>
      <c r="B29" s="284">
        <v>5221</v>
      </c>
      <c r="C29" s="284" t="s">
        <v>841</v>
      </c>
      <c r="D29" s="284" t="s">
        <v>842</v>
      </c>
      <c r="E29" s="285" t="s">
        <v>33</v>
      </c>
      <c r="F29" s="284">
        <v>26593980</v>
      </c>
      <c r="G29" s="286" t="s">
        <v>318</v>
      </c>
      <c r="H29" s="284">
        <v>5362299</v>
      </c>
      <c r="I29" s="285" t="s">
        <v>818</v>
      </c>
      <c r="J29" s="284"/>
      <c r="K29" s="287">
        <v>684624</v>
      </c>
      <c r="L29" s="287"/>
      <c r="M29" s="287"/>
      <c r="N29" s="287"/>
      <c r="O29" s="288">
        <v>273218</v>
      </c>
      <c r="P29" s="289">
        <f t="shared" si="1"/>
        <v>957842</v>
      </c>
      <c r="Q29" s="283"/>
      <c r="R29" s="290"/>
      <c r="S29" s="291"/>
    </row>
    <row r="30" spans="1:19" ht="22.5" customHeight="1" x14ac:dyDescent="0.25">
      <c r="A30" s="283">
        <v>4312</v>
      </c>
      <c r="B30" s="284">
        <v>5221</v>
      </c>
      <c r="C30" s="284" t="s">
        <v>841</v>
      </c>
      <c r="D30" s="284" t="s">
        <v>842</v>
      </c>
      <c r="E30" s="285" t="s">
        <v>33</v>
      </c>
      <c r="F30" s="284">
        <v>26593980</v>
      </c>
      <c r="G30" s="286" t="s">
        <v>318</v>
      </c>
      <c r="H30" s="284">
        <v>5451090</v>
      </c>
      <c r="I30" s="285" t="s">
        <v>813</v>
      </c>
      <c r="J30" s="284"/>
      <c r="K30" s="287">
        <v>92400</v>
      </c>
      <c r="L30" s="287"/>
      <c r="M30" s="287"/>
      <c r="N30" s="287"/>
      <c r="O30" s="288" t="s">
        <v>814</v>
      </c>
      <c r="P30" s="289">
        <f t="shared" si="1"/>
        <v>92400</v>
      </c>
      <c r="Q30" s="283"/>
      <c r="R30" s="290"/>
      <c r="S30" s="291"/>
    </row>
    <row r="31" spans="1:19" ht="22.5" customHeight="1" x14ac:dyDescent="0.25">
      <c r="A31" s="283">
        <v>4359</v>
      </c>
      <c r="B31" s="284">
        <v>5221</v>
      </c>
      <c r="C31" s="284" t="s">
        <v>841</v>
      </c>
      <c r="D31" s="284" t="s">
        <v>842</v>
      </c>
      <c r="E31" s="285" t="s">
        <v>33</v>
      </c>
      <c r="F31" s="284">
        <v>26593980</v>
      </c>
      <c r="G31" s="286" t="s">
        <v>318</v>
      </c>
      <c r="H31" s="284">
        <v>6806376</v>
      </c>
      <c r="I31" s="285" t="s">
        <v>818</v>
      </c>
      <c r="J31" s="284"/>
      <c r="K31" s="287">
        <v>684624</v>
      </c>
      <c r="L31" s="287"/>
      <c r="M31" s="287"/>
      <c r="N31" s="287"/>
      <c r="O31" s="288">
        <v>545218</v>
      </c>
      <c r="P31" s="289">
        <f t="shared" si="1"/>
        <v>1229842</v>
      </c>
      <c r="Q31" s="283"/>
      <c r="R31" s="290"/>
      <c r="S31" s="291"/>
    </row>
    <row r="32" spans="1:19" ht="22.5" customHeight="1" x14ac:dyDescent="0.25">
      <c r="A32" s="283">
        <v>4351</v>
      </c>
      <c r="B32" s="284">
        <v>5221</v>
      </c>
      <c r="C32" s="284" t="s">
        <v>841</v>
      </c>
      <c r="D32" s="284" t="s">
        <v>842</v>
      </c>
      <c r="E32" s="285" t="s">
        <v>33</v>
      </c>
      <c r="F32" s="284">
        <v>26593980</v>
      </c>
      <c r="G32" s="286" t="s">
        <v>318</v>
      </c>
      <c r="H32" s="284">
        <v>7135154</v>
      </c>
      <c r="I32" s="285" t="s">
        <v>844</v>
      </c>
      <c r="J32" s="284"/>
      <c r="K32" s="287">
        <v>2852256</v>
      </c>
      <c r="L32" s="287"/>
      <c r="M32" s="287"/>
      <c r="N32" s="287"/>
      <c r="O32" s="288">
        <v>1428786</v>
      </c>
      <c r="P32" s="289">
        <f t="shared" si="1"/>
        <v>4281042</v>
      </c>
      <c r="Q32" s="283"/>
      <c r="R32" s="290"/>
      <c r="S32" s="291"/>
    </row>
    <row r="33" spans="1:19" ht="22.5" customHeight="1" x14ac:dyDescent="0.25">
      <c r="A33" s="283">
        <v>4351</v>
      </c>
      <c r="B33" s="284">
        <v>5221</v>
      </c>
      <c r="C33" s="284" t="s">
        <v>841</v>
      </c>
      <c r="D33" s="284" t="s">
        <v>842</v>
      </c>
      <c r="E33" s="285" t="s">
        <v>33</v>
      </c>
      <c r="F33" s="284">
        <v>26593980</v>
      </c>
      <c r="G33" s="286" t="s">
        <v>318</v>
      </c>
      <c r="H33" s="284">
        <v>7559709</v>
      </c>
      <c r="I33" s="285" t="s">
        <v>844</v>
      </c>
      <c r="J33" s="284"/>
      <c r="K33" s="287">
        <v>6642240</v>
      </c>
      <c r="L33" s="287"/>
      <c r="M33" s="287"/>
      <c r="N33" s="287"/>
      <c r="O33" s="288">
        <v>3136402</v>
      </c>
      <c r="P33" s="289">
        <f t="shared" si="1"/>
        <v>9778642</v>
      </c>
      <c r="Q33" s="283"/>
      <c r="R33" s="290"/>
      <c r="S33" s="291"/>
    </row>
    <row r="34" spans="1:19" ht="22.5" customHeight="1" x14ac:dyDescent="0.25">
      <c r="A34" s="283">
        <v>4351</v>
      </c>
      <c r="B34" s="284">
        <v>5221</v>
      </c>
      <c r="C34" s="284" t="s">
        <v>841</v>
      </c>
      <c r="D34" s="284" t="s">
        <v>842</v>
      </c>
      <c r="E34" s="285" t="s">
        <v>33</v>
      </c>
      <c r="F34" s="284">
        <v>26593980</v>
      </c>
      <c r="G34" s="286" t="s">
        <v>318</v>
      </c>
      <c r="H34" s="284">
        <v>9349276</v>
      </c>
      <c r="I34" s="285" t="s">
        <v>844</v>
      </c>
      <c r="J34" s="284"/>
      <c r="K34" s="287">
        <v>4024416</v>
      </c>
      <c r="L34" s="287"/>
      <c r="M34" s="287"/>
      <c r="N34" s="287"/>
      <c r="O34" s="288">
        <v>2751026</v>
      </c>
      <c r="P34" s="289">
        <f t="shared" si="1"/>
        <v>6775442</v>
      </c>
      <c r="Q34" s="283"/>
      <c r="R34" s="290"/>
      <c r="S34" s="291"/>
    </row>
    <row r="35" spans="1:19" ht="22.5" customHeight="1" x14ac:dyDescent="0.25">
      <c r="A35" s="283">
        <v>4312</v>
      </c>
      <c r="B35" s="284">
        <v>5221</v>
      </c>
      <c r="C35" s="284" t="s">
        <v>841</v>
      </c>
      <c r="D35" s="284" t="s">
        <v>842</v>
      </c>
      <c r="E35" s="285" t="s">
        <v>33</v>
      </c>
      <c r="F35" s="284">
        <v>26593980</v>
      </c>
      <c r="G35" s="286" t="s">
        <v>318</v>
      </c>
      <c r="H35" s="284">
        <v>9725207</v>
      </c>
      <c r="I35" s="285" t="s">
        <v>813</v>
      </c>
      <c r="J35" s="284"/>
      <c r="K35" s="287">
        <v>92400</v>
      </c>
      <c r="L35" s="287"/>
      <c r="M35" s="287"/>
      <c r="N35" s="287"/>
      <c r="O35" s="288" t="s">
        <v>814</v>
      </c>
      <c r="P35" s="289">
        <f t="shared" si="1"/>
        <v>92400</v>
      </c>
      <c r="Q35" s="283"/>
      <c r="R35" s="290"/>
      <c r="S35" s="291"/>
    </row>
    <row r="36" spans="1:19" ht="22.5" customHeight="1" x14ac:dyDescent="0.25">
      <c r="A36" s="283">
        <v>4359</v>
      </c>
      <c r="B36" s="284">
        <v>5321</v>
      </c>
      <c r="C36" s="284" t="s">
        <v>845</v>
      </c>
      <c r="D36" s="284" t="s">
        <v>846</v>
      </c>
      <c r="E36" s="285" t="s">
        <v>323</v>
      </c>
      <c r="F36" s="284">
        <v>43256503</v>
      </c>
      <c r="G36" s="286" t="s">
        <v>324</v>
      </c>
      <c r="H36" s="284">
        <v>1947710</v>
      </c>
      <c r="I36" s="285" t="s">
        <v>818</v>
      </c>
      <c r="J36" s="284"/>
      <c r="K36" s="287">
        <v>1400000</v>
      </c>
      <c r="L36" s="287"/>
      <c r="M36" s="287"/>
      <c r="N36" s="287"/>
      <c r="O36" s="288" t="s">
        <v>814</v>
      </c>
      <c r="P36" s="289">
        <f t="shared" si="1"/>
        <v>1400000</v>
      </c>
      <c r="Q36" s="283"/>
      <c r="R36" s="290"/>
      <c r="S36" s="291"/>
    </row>
    <row r="37" spans="1:19" ht="22.5" customHeight="1" x14ac:dyDescent="0.25">
      <c r="A37" s="283">
        <v>4351</v>
      </c>
      <c r="B37" s="284">
        <v>5321</v>
      </c>
      <c r="C37" s="284" t="s">
        <v>845</v>
      </c>
      <c r="D37" s="284" t="s">
        <v>846</v>
      </c>
      <c r="E37" s="285" t="s">
        <v>323</v>
      </c>
      <c r="F37" s="284">
        <v>43256503</v>
      </c>
      <c r="G37" s="286" t="s">
        <v>324</v>
      </c>
      <c r="H37" s="284">
        <v>8396068</v>
      </c>
      <c r="I37" s="285" t="s">
        <v>847</v>
      </c>
      <c r="J37" s="284"/>
      <c r="K37" s="287">
        <v>7335720</v>
      </c>
      <c r="L37" s="287"/>
      <c r="M37" s="287"/>
      <c r="N37" s="287"/>
      <c r="O37" s="288" t="s">
        <v>814</v>
      </c>
      <c r="P37" s="289">
        <f t="shared" si="1"/>
        <v>7335720</v>
      </c>
      <c r="Q37" s="283"/>
      <c r="R37" s="290"/>
      <c r="S37" s="291"/>
    </row>
    <row r="38" spans="1:19" ht="22.5" customHeight="1" x14ac:dyDescent="0.25">
      <c r="A38" s="283">
        <v>4350</v>
      </c>
      <c r="B38" s="284">
        <v>5321</v>
      </c>
      <c r="C38" s="284" t="s">
        <v>848</v>
      </c>
      <c r="D38" s="284" t="s">
        <v>849</v>
      </c>
      <c r="E38" s="285" t="s">
        <v>326</v>
      </c>
      <c r="F38" s="284">
        <v>65100654</v>
      </c>
      <c r="G38" s="286" t="s">
        <v>324</v>
      </c>
      <c r="H38" s="284">
        <v>2480451</v>
      </c>
      <c r="I38" s="285" t="s">
        <v>817</v>
      </c>
      <c r="J38" s="284"/>
      <c r="K38" s="287">
        <v>1500000</v>
      </c>
      <c r="L38" s="287"/>
      <c r="M38" s="287"/>
      <c r="N38" s="287"/>
      <c r="O38" s="288" t="s">
        <v>814</v>
      </c>
      <c r="P38" s="289">
        <f t="shared" si="1"/>
        <v>1500000</v>
      </c>
      <c r="Q38" s="283"/>
      <c r="R38" s="290"/>
      <c r="S38" s="291"/>
    </row>
    <row r="39" spans="1:19" ht="22.5" customHeight="1" x14ac:dyDescent="0.25">
      <c r="A39" s="283">
        <v>4351</v>
      </c>
      <c r="B39" s="284">
        <v>5321</v>
      </c>
      <c r="C39" s="284" t="s">
        <v>848</v>
      </c>
      <c r="D39" s="284" t="s">
        <v>849</v>
      </c>
      <c r="E39" s="285" t="s">
        <v>326</v>
      </c>
      <c r="F39" s="284">
        <v>65100654</v>
      </c>
      <c r="G39" s="286" t="s">
        <v>324</v>
      </c>
      <c r="H39" s="284">
        <v>6722018</v>
      </c>
      <c r="I39" s="285" t="s">
        <v>847</v>
      </c>
      <c r="J39" s="284"/>
      <c r="K39" s="287">
        <v>18000000</v>
      </c>
      <c r="L39" s="287"/>
      <c r="M39" s="287"/>
      <c r="N39" s="287"/>
      <c r="O39" s="288" t="s">
        <v>814</v>
      </c>
      <c r="P39" s="289">
        <f t="shared" si="1"/>
        <v>18000000</v>
      </c>
      <c r="Q39" s="283"/>
      <c r="R39" s="290"/>
      <c r="S39" s="291"/>
    </row>
    <row r="40" spans="1:19" ht="22.5" customHeight="1" x14ac:dyDescent="0.25">
      <c r="A40" s="283">
        <v>4359</v>
      </c>
      <c r="B40" s="284">
        <v>5321</v>
      </c>
      <c r="C40" s="284" t="s">
        <v>848</v>
      </c>
      <c r="D40" s="284" t="s">
        <v>849</v>
      </c>
      <c r="E40" s="285" t="s">
        <v>326</v>
      </c>
      <c r="F40" s="284">
        <v>65100654</v>
      </c>
      <c r="G40" s="286" t="s">
        <v>324</v>
      </c>
      <c r="H40" s="284">
        <v>7665554</v>
      </c>
      <c r="I40" s="285" t="s">
        <v>818</v>
      </c>
      <c r="J40" s="284"/>
      <c r="K40" s="287">
        <v>1500000</v>
      </c>
      <c r="L40" s="287"/>
      <c r="M40" s="287"/>
      <c r="N40" s="287"/>
      <c r="O40" s="288" t="s">
        <v>814</v>
      </c>
      <c r="P40" s="289">
        <f t="shared" si="1"/>
        <v>1500000</v>
      </c>
      <c r="Q40" s="283"/>
      <c r="R40" s="290"/>
      <c r="S40" s="291"/>
    </row>
    <row r="41" spans="1:19" ht="22.5" customHeight="1" x14ac:dyDescent="0.25">
      <c r="A41" s="283">
        <v>4371</v>
      </c>
      <c r="B41" s="284">
        <v>5222</v>
      </c>
      <c r="C41" s="284" t="s">
        <v>850</v>
      </c>
      <c r="D41" s="284" t="s">
        <v>851</v>
      </c>
      <c r="E41" s="285" t="s">
        <v>489</v>
      </c>
      <c r="F41" s="284">
        <v>26571129</v>
      </c>
      <c r="G41" s="286" t="s">
        <v>288</v>
      </c>
      <c r="H41" s="284">
        <v>6769479</v>
      </c>
      <c r="I41" s="285" t="s">
        <v>840</v>
      </c>
      <c r="J41" s="284"/>
      <c r="K41" s="287">
        <v>1338620</v>
      </c>
      <c r="L41" s="287"/>
      <c r="M41" s="287"/>
      <c r="N41" s="287"/>
      <c r="O41" s="288">
        <v>212400</v>
      </c>
      <c r="P41" s="289">
        <f t="shared" si="1"/>
        <v>1551020</v>
      </c>
      <c r="Q41" s="283"/>
      <c r="R41" s="290"/>
      <c r="S41" s="291"/>
    </row>
    <row r="42" spans="1:19" ht="15" customHeight="1" x14ac:dyDescent="0.25">
      <c r="A42" s="283">
        <v>4379</v>
      </c>
      <c r="B42" s="284">
        <v>5221</v>
      </c>
      <c r="C42" s="284" t="s">
        <v>852</v>
      </c>
      <c r="D42" s="284" t="s">
        <v>853</v>
      </c>
      <c r="E42" s="285" t="s">
        <v>228</v>
      </c>
      <c r="F42" s="284">
        <v>675547</v>
      </c>
      <c r="G42" s="286" t="s">
        <v>267</v>
      </c>
      <c r="H42" s="284">
        <v>4358523</v>
      </c>
      <c r="I42" s="285" t="s">
        <v>843</v>
      </c>
      <c r="J42" s="284"/>
      <c r="K42" s="287">
        <v>508520</v>
      </c>
      <c r="L42" s="287"/>
      <c r="M42" s="287"/>
      <c r="N42" s="287"/>
      <c r="O42" s="288" t="s">
        <v>814</v>
      </c>
      <c r="P42" s="289">
        <f t="shared" si="1"/>
        <v>508520</v>
      </c>
      <c r="Q42" s="283"/>
      <c r="R42" s="290"/>
      <c r="S42" s="291"/>
    </row>
    <row r="43" spans="1:19" ht="22.5" customHeight="1" x14ac:dyDescent="0.25">
      <c r="A43" s="283">
        <v>4379</v>
      </c>
      <c r="B43" s="284">
        <v>5221</v>
      </c>
      <c r="C43" s="284" t="s">
        <v>852</v>
      </c>
      <c r="D43" s="284" t="s">
        <v>853</v>
      </c>
      <c r="E43" s="285" t="s">
        <v>228</v>
      </c>
      <c r="F43" s="284">
        <v>675547</v>
      </c>
      <c r="G43" s="286" t="s">
        <v>267</v>
      </c>
      <c r="H43" s="284">
        <v>4756138</v>
      </c>
      <c r="I43" s="285" t="s">
        <v>854</v>
      </c>
      <c r="J43" s="284"/>
      <c r="K43" s="287">
        <v>654360</v>
      </c>
      <c r="L43" s="287"/>
      <c r="M43" s="287"/>
      <c r="N43" s="287"/>
      <c r="O43" s="288">
        <v>306202</v>
      </c>
      <c r="P43" s="289">
        <f t="shared" si="1"/>
        <v>960562</v>
      </c>
      <c r="Q43" s="283"/>
      <c r="R43" s="290"/>
      <c r="S43" s="291"/>
    </row>
    <row r="44" spans="1:19" ht="22.5" customHeight="1" x14ac:dyDescent="0.25">
      <c r="A44" s="283">
        <v>4375</v>
      </c>
      <c r="B44" s="284">
        <v>5221</v>
      </c>
      <c r="C44" s="284" t="s">
        <v>855</v>
      </c>
      <c r="D44" s="284" t="s">
        <v>856</v>
      </c>
      <c r="E44" s="285" t="s">
        <v>192</v>
      </c>
      <c r="F44" s="284">
        <v>25755277</v>
      </c>
      <c r="G44" s="286" t="s">
        <v>318</v>
      </c>
      <c r="H44" s="284">
        <v>5235056</v>
      </c>
      <c r="I44" s="285" t="s">
        <v>857</v>
      </c>
      <c r="J44" s="284"/>
      <c r="K44" s="287">
        <v>1260000</v>
      </c>
      <c r="L44" s="287"/>
      <c r="M44" s="287"/>
      <c r="N44" s="287"/>
      <c r="O44" s="288">
        <v>884264</v>
      </c>
      <c r="P44" s="289">
        <f t="shared" si="1"/>
        <v>2144264</v>
      </c>
      <c r="Q44" s="283"/>
      <c r="R44" s="290"/>
      <c r="S44" s="291"/>
    </row>
    <row r="45" spans="1:19" ht="15" customHeight="1" x14ac:dyDescent="0.25">
      <c r="A45" s="283">
        <v>4378</v>
      </c>
      <c r="B45" s="284">
        <v>5221</v>
      </c>
      <c r="C45" s="284" t="s">
        <v>855</v>
      </c>
      <c r="D45" s="284" t="s">
        <v>856</v>
      </c>
      <c r="E45" s="285" t="s">
        <v>192</v>
      </c>
      <c r="F45" s="284">
        <v>25755277</v>
      </c>
      <c r="G45" s="286" t="s">
        <v>318</v>
      </c>
      <c r="H45" s="284">
        <v>5713240</v>
      </c>
      <c r="I45" s="285" t="s">
        <v>858</v>
      </c>
      <c r="J45" s="284"/>
      <c r="K45" s="287">
        <v>3042240</v>
      </c>
      <c r="L45" s="287"/>
      <c r="M45" s="287"/>
      <c r="N45" s="287"/>
      <c r="O45" s="288">
        <v>668454</v>
      </c>
      <c r="P45" s="289">
        <f t="shared" si="1"/>
        <v>3710694</v>
      </c>
      <c r="Q45" s="283"/>
      <c r="R45" s="290"/>
      <c r="S45" s="291"/>
    </row>
    <row r="46" spans="1:19" ht="15" customHeight="1" x14ac:dyDescent="0.25">
      <c r="A46" s="283">
        <v>4312</v>
      </c>
      <c r="B46" s="284">
        <v>5221</v>
      </c>
      <c r="C46" s="284" t="s">
        <v>855</v>
      </c>
      <c r="D46" s="284" t="s">
        <v>856</v>
      </c>
      <c r="E46" s="285" t="s">
        <v>192</v>
      </c>
      <c r="F46" s="284">
        <v>25755277</v>
      </c>
      <c r="G46" s="286" t="s">
        <v>318</v>
      </c>
      <c r="H46" s="284">
        <v>6719009</v>
      </c>
      <c r="I46" s="285" t="s">
        <v>813</v>
      </c>
      <c r="J46" s="284"/>
      <c r="K46" s="287">
        <v>2367960</v>
      </c>
      <c r="L46" s="287"/>
      <c r="M46" s="287"/>
      <c r="N46" s="287"/>
      <c r="O46" s="288">
        <v>1285519</v>
      </c>
      <c r="P46" s="289">
        <f t="shared" si="1"/>
        <v>3653479</v>
      </c>
      <c r="Q46" s="283"/>
      <c r="R46" s="290"/>
      <c r="S46" s="291"/>
    </row>
    <row r="47" spans="1:19" ht="15" customHeight="1" x14ac:dyDescent="0.25">
      <c r="A47" s="283">
        <v>4312</v>
      </c>
      <c r="B47" s="284">
        <v>5222</v>
      </c>
      <c r="C47" s="284" t="s">
        <v>859</v>
      </c>
      <c r="D47" s="284" t="s">
        <v>860</v>
      </c>
      <c r="E47" s="285" t="s">
        <v>68</v>
      </c>
      <c r="F47" s="284">
        <v>68455232</v>
      </c>
      <c r="G47" s="286" t="s">
        <v>288</v>
      </c>
      <c r="H47" s="284">
        <v>9813481</v>
      </c>
      <c r="I47" s="285" t="s">
        <v>813</v>
      </c>
      <c r="J47" s="284"/>
      <c r="K47" s="287">
        <v>2640120</v>
      </c>
      <c r="L47" s="287"/>
      <c r="M47" s="287"/>
      <c r="N47" s="287"/>
      <c r="O47" s="288">
        <v>350000</v>
      </c>
      <c r="P47" s="289">
        <f t="shared" si="1"/>
        <v>2990120</v>
      </c>
      <c r="Q47" s="283"/>
      <c r="R47" s="290"/>
      <c r="S47" s="291"/>
    </row>
    <row r="48" spans="1:19" ht="22.5" customHeight="1" x14ac:dyDescent="0.25">
      <c r="A48" s="283">
        <v>4357</v>
      </c>
      <c r="B48" s="284">
        <v>5336</v>
      </c>
      <c r="C48" s="284" t="s">
        <v>861</v>
      </c>
      <c r="D48" s="284" t="s">
        <v>862</v>
      </c>
      <c r="E48" s="285" t="s">
        <v>332</v>
      </c>
      <c r="F48" s="284">
        <v>48282961</v>
      </c>
      <c r="G48" s="286" t="s">
        <v>324</v>
      </c>
      <c r="H48" s="284">
        <v>2038560</v>
      </c>
      <c r="I48" s="285" t="s">
        <v>829</v>
      </c>
      <c r="J48" s="284"/>
      <c r="K48" s="287">
        <v>3120000</v>
      </c>
      <c r="L48" s="287"/>
      <c r="M48" s="287"/>
      <c r="N48" s="287"/>
      <c r="O48" s="288" t="s">
        <v>814</v>
      </c>
      <c r="P48" s="289">
        <f t="shared" si="1"/>
        <v>3120000</v>
      </c>
      <c r="Q48" s="283"/>
      <c r="R48" s="290"/>
      <c r="S48" s="291"/>
    </row>
    <row r="49" spans="1:19" ht="22.5" customHeight="1" x14ac:dyDescent="0.25">
      <c r="A49" s="283">
        <v>4356</v>
      </c>
      <c r="B49" s="284">
        <v>5336</v>
      </c>
      <c r="C49" s="284" t="s">
        <v>861</v>
      </c>
      <c r="D49" s="284" t="s">
        <v>862</v>
      </c>
      <c r="E49" s="285" t="s">
        <v>332</v>
      </c>
      <c r="F49" s="284">
        <v>48282961</v>
      </c>
      <c r="G49" s="286" t="s">
        <v>324</v>
      </c>
      <c r="H49" s="284">
        <v>2293541</v>
      </c>
      <c r="I49" s="285" t="s">
        <v>822</v>
      </c>
      <c r="J49" s="284"/>
      <c r="K49" s="287">
        <v>6257544</v>
      </c>
      <c r="L49" s="287"/>
      <c r="M49" s="287"/>
      <c r="N49" s="287"/>
      <c r="O49" s="288" t="s">
        <v>814</v>
      </c>
      <c r="P49" s="289">
        <f t="shared" si="1"/>
        <v>6257544</v>
      </c>
      <c r="Q49" s="283"/>
      <c r="R49" s="290"/>
      <c r="S49" s="291"/>
    </row>
    <row r="50" spans="1:19" ht="22.5" customHeight="1" x14ac:dyDescent="0.25">
      <c r="A50" s="283">
        <v>4356</v>
      </c>
      <c r="B50" s="284">
        <v>5321</v>
      </c>
      <c r="C50" s="284" t="s">
        <v>863</v>
      </c>
      <c r="D50" s="284" t="s">
        <v>864</v>
      </c>
      <c r="E50" s="285" t="s">
        <v>333</v>
      </c>
      <c r="F50" s="284">
        <v>68247877</v>
      </c>
      <c r="G50" s="286" t="s">
        <v>324</v>
      </c>
      <c r="H50" s="284">
        <v>3790182</v>
      </c>
      <c r="I50" s="285" t="s">
        <v>822</v>
      </c>
      <c r="J50" s="284"/>
      <c r="K50" s="287">
        <v>2353950</v>
      </c>
      <c r="L50" s="287"/>
      <c r="M50" s="287"/>
      <c r="N50" s="287"/>
      <c r="O50" s="288" t="s">
        <v>814</v>
      </c>
      <c r="P50" s="289">
        <f t="shared" si="1"/>
        <v>2353950</v>
      </c>
      <c r="Q50" s="283"/>
      <c r="R50" s="290"/>
      <c r="S50" s="291"/>
    </row>
    <row r="51" spans="1:19" ht="22.5" customHeight="1" x14ac:dyDescent="0.25">
      <c r="A51" s="283">
        <v>4355</v>
      </c>
      <c r="B51" s="284">
        <v>5321</v>
      </c>
      <c r="C51" s="284" t="s">
        <v>863</v>
      </c>
      <c r="D51" s="284" t="s">
        <v>864</v>
      </c>
      <c r="E51" s="285" t="s">
        <v>333</v>
      </c>
      <c r="F51" s="284">
        <v>68247877</v>
      </c>
      <c r="G51" s="286" t="s">
        <v>324</v>
      </c>
      <c r="H51" s="284">
        <v>5312119</v>
      </c>
      <c r="I51" s="285" t="s">
        <v>865</v>
      </c>
      <c r="J51" s="284"/>
      <c r="K51" s="287">
        <v>2370000</v>
      </c>
      <c r="L51" s="287"/>
      <c r="M51" s="287"/>
      <c r="N51" s="287"/>
      <c r="O51" s="288" t="s">
        <v>814</v>
      </c>
      <c r="P51" s="289">
        <f t="shared" si="1"/>
        <v>2370000</v>
      </c>
      <c r="Q51" s="283"/>
      <c r="R51" s="290"/>
      <c r="S51" s="291"/>
    </row>
    <row r="52" spans="1:19" ht="22.5" customHeight="1" x14ac:dyDescent="0.25">
      <c r="A52" s="283">
        <v>4359</v>
      </c>
      <c r="B52" s="284">
        <v>5321</v>
      </c>
      <c r="C52" s="284" t="s">
        <v>863</v>
      </c>
      <c r="D52" s="284" t="s">
        <v>864</v>
      </c>
      <c r="E52" s="285" t="s">
        <v>333</v>
      </c>
      <c r="F52" s="284">
        <v>68247877</v>
      </c>
      <c r="G52" s="286" t="s">
        <v>324</v>
      </c>
      <c r="H52" s="284">
        <v>6907978</v>
      </c>
      <c r="I52" s="285" t="s">
        <v>818</v>
      </c>
      <c r="J52" s="284"/>
      <c r="K52" s="287">
        <v>720000</v>
      </c>
      <c r="L52" s="287"/>
      <c r="M52" s="287"/>
      <c r="N52" s="287"/>
      <c r="O52" s="288" t="s">
        <v>814</v>
      </c>
      <c r="P52" s="289">
        <f t="shared" si="1"/>
        <v>720000</v>
      </c>
      <c r="Q52" s="283"/>
      <c r="R52" s="290"/>
      <c r="S52" s="291"/>
    </row>
    <row r="53" spans="1:19" ht="22.5" customHeight="1" x14ac:dyDescent="0.25">
      <c r="A53" s="283">
        <v>4344</v>
      </c>
      <c r="B53" s="284">
        <v>5336</v>
      </c>
      <c r="C53" s="284" t="s">
        <v>866</v>
      </c>
      <c r="D53" s="284" t="s">
        <v>867</v>
      </c>
      <c r="E53" s="285" t="s">
        <v>868</v>
      </c>
      <c r="F53" s="284">
        <v>71294392</v>
      </c>
      <c r="G53" s="286" t="s">
        <v>324</v>
      </c>
      <c r="H53" s="284">
        <v>7387665</v>
      </c>
      <c r="I53" s="285" t="s">
        <v>869</v>
      </c>
      <c r="J53" s="284"/>
      <c r="K53" s="287">
        <v>1270710</v>
      </c>
      <c r="L53" s="287"/>
      <c r="M53" s="287"/>
      <c r="N53" s="287"/>
      <c r="O53" s="288" t="s">
        <v>814</v>
      </c>
      <c r="P53" s="289">
        <f t="shared" si="1"/>
        <v>1270710</v>
      </c>
      <c r="Q53" s="283"/>
      <c r="R53" s="290"/>
      <c r="S53" s="291"/>
    </row>
    <row r="54" spans="1:19" ht="22.5" customHeight="1" x14ac:dyDescent="0.25">
      <c r="A54" s="283">
        <v>4356</v>
      </c>
      <c r="B54" s="284">
        <v>5321</v>
      </c>
      <c r="C54" s="284" t="s">
        <v>870</v>
      </c>
      <c r="D54" s="284" t="s">
        <v>871</v>
      </c>
      <c r="E54" s="285" t="s">
        <v>335</v>
      </c>
      <c r="F54" s="284">
        <v>856134</v>
      </c>
      <c r="G54" s="286" t="s">
        <v>324</v>
      </c>
      <c r="H54" s="284">
        <v>4297455</v>
      </c>
      <c r="I54" s="285" t="s">
        <v>822</v>
      </c>
      <c r="J54" s="284"/>
      <c r="K54" s="287">
        <v>2217240</v>
      </c>
      <c r="L54" s="287"/>
      <c r="M54" s="287"/>
      <c r="N54" s="287"/>
      <c r="O54" s="288">
        <v>500000</v>
      </c>
      <c r="P54" s="289">
        <f t="shared" si="1"/>
        <v>2717240</v>
      </c>
      <c r="Q54" s="283"/>
      <c r="R54" s="290"/>
      <c r="S54" s="291"/>
    </row>
    <row r="55" spans="1:19" ht="15" customHeight="1" x14ac:dyDescent="0.25">
      <c r="A55" s="283">
        <v>4377</v>
      </c>
      <c r="B55" s="284">
        <v>5221</v>
      </c>
      <c r="C55" s="284" t="s">
        <v>872</v>
      </c>
      <c r="D55" s="284" t="s">
        <v>873</v>
      </c>
      <c r="E55" s="285" t="s">
        <v>178</v>
      </c>
      <c r="F55" s="284">
        <v>27298523</v>
      </c>
      <c r="G55" s="286" t="s">
        <v>318</v>
      </c>
      <c r="H55" s="284">
        <v>2718583</v>
      </c>
      <c r="I55" s="285" t="s">
        <v>874</v>
      </c>
      <c r="J55" s="284"/>
      <c r="K55" s="287">
        <v>2023071</v>
      </c>
      <c r="L55" s="292">
        <v>1213843</v>
      </c>
      <c r="M55" s="292">
        <v>809228</v>
      </c>
      <c r="N55" s="292">
        <f>L55+M55</f>
        <v>2023071</v>
      </c>
      <c r="O55" s="288" t="s">
        <v>814</v>
      </c>
      <c r="P55" s="289">
        <f>K55-L55-M55+O55</f>
        <v>0</v>
      </c>
      <c r="Q55" s="283"/>
      <c r="R55" s="290"/>
      <c r="S55" s="291"/>
    </row>
    <row r="56" spans="1:19" ht="22.5" customHeight="1" x14ac:dyDescent="0.25">
      <c r="A56" s="283">
        <v>4357</v>
      </c>
      <c r="B56" s="284">
        <v>5221</v>
      </c>
      <c r="C56" s="284" t="s">
        <v>872</v>
      </c>
      <c r="D56" s="284" t="s">
        <v>873</v>
      </c>
      <c r="E56" s="285" t="s">
        <v>178</v>
      </c>
      <c r="F56" s="284">
        <v>27298523</v>
      </c>
      <c r="G56" s="286" t="s">
        <v>318</v>
      </c>
      <c r="H56" s="284">
        <v>3166608</v>
      </c>
      <c r="I56" s="285" t="s">
        <v>829</v>
      </c>
      <c r="J56" s="284"/>
      <c r="K56" s="287">
        <v>6184051</v>
      </c>
      <c r="L56" s="287"/>
      <c r="M56" s="287"/>
      <c r="N56" s="287"/>
      <c r="O56" s="288">
        <v>500000</v>
      </c>
      <c r="P56" s="289">
        <f t="shared" si="1"/>
        <v>6684051</v>
      </c>
      <c r="Q56" s="283"/>
      <c r="R56" s="290"/>
      <c r="S56" s="291"/>
    </row>
    <row r="57" spans="1:19" ht="15" customHeight="1" x14ac:dyDescent="0.25">
      <c r="A57" s="283">
        <v>4351</v>
      </c>
      <c r="B57" s="284">
        <v>5221</v>
      </c>
      <c r="C57" s="284" t="s">
        <v>872</v>
      </c>
      <c r="D57" s="284" t="s">
        <v>873</v>
      </c>
      <c r="E57" s="285" t="s">
        <v>178</v>
      </c>
      <c r="F57" s="284">
        <v>27298523</v>
      </c>
      <c r="G57" s="286" t="s">
        <v>318</v>
      </c>
      <c r="H57" s="284">
        <v>5793673</v>
      </c>
      <c r="I57" s="285" t="s">
        <v>844</v>
      </c>
      <c r="J57" s="284"/>
      <c r="K57" s="287">
        <v>1953600</v>
      </c>
      <c r="L57" s="287"/>
      <c r="M57" s="287"/>
      <c r="N57" s="287"/>
      <c r="O57" s="288">
        <v>940144</v>
      </c>
      <c r="P57" s="289">
        <f t="shared" si="1"/>
        <v>2893744</v>
      </c>
      <c r="Q57" s="283"/>
      <c r="R57" s="290"/>
      <c r="S57" s="291"/>
    </row>
    <row r="58" spans="1:19" ht="15" customHeight="1" x14ac:dyDescent="0.25">
      <c r="A58" s="283">
        <v>4354</v>
      </c>
      <c r="B58" s="284">
        <v>5221</v>
      </c>
      <c r="C58" s="284" t="s">
        <v>872</v>
      </c>
      <c r="D58" s="284" t="s">
        <v>873</v>
      </c>
      <c r="E58" s="285" t="s">
        <v>178</v>
      </c>
      <c r="F58" s="284">
        <v>27298523</v>
      </c>
      <c r="G58" s="286" t="s">
        <v>318</v>
      </c>
      <c r="H58" s="284">
        <v>7044506</v>
      </c>
      <c r="I58" s="285" t="s">
        <v>875</v>
      </c>
      <c r="J58" s="284"/>
      <c r="K58" s="287">
        <v>9660000</v>
      </c>
      <c r="L58" s="287"/>
      <c r="M58" s="287"/>
      <c r="N58" s="287"/>
      <c r="O58" s="288">
        <v>225000</v>
      </c>
      <c r="P58" s="289">
        <f t="shared" si="1"/>
        <v>9885000</v>
      </c>
      <c r="Q58" s="283"/>
      <c r="R58" s="290"/>
      <c r="S58" s="291"/>
    </row>
    <row r="59" spans="1:19" ht="15" customHeight="1" x14ac:dyDescent="0.25">
      <c r="A59" s="283">
        <v>4351</v>
      </c>
      <c r="B59" s="284">
        <v>5222</v>
      </c>
      <c r="C59" s="284" t="s">
        <v>876</v>
      </c>
      <c r="D59" s="284" t="s">
        <v>877</v>
      </c>
      <c r="E59" s="285" t="s">
        <v>166</v>
      </c>
      <c r="F59" s="284">
        <v>40233189</v>
      </c>
      <c r="G59" s="286" t="s">
        <v>288</v>
      </c>
      <c r="H59" s="284">
        <v>5231429</v>
      </c>
      <c r="I59" s="285" t="s">
        <v>847</v>
      </c>
      <c r="J59" s="284"/>
      <c r="K59" s="287">
        <v>4411455</v>
      </c>
      <c r="L59" s="287"/>
      <c r="M59" s="287"/>
      <c r="N59" s="287"/>
      <c r="O59" s="288">
        <v>2283107</v>
      </c>
      <c r="P59" s="289">
        <f t="shared" si="1"/>
        <v>6694562</v>
      </c>
      <c r="Q59" s="283"/>
      <c r="R59" s="290"/>
      <c r="S59" s="291"/>
    </row>
    <row r="60" spans="1:19" ht="22.5" customHeight="1" x14ac:dyDescent="0.25">
      <c r="A60" s="283">
        <v>4371</v>
      </c>
      <c r="B60" s="284">
        <v>5223</v>
      </c>
      <c r="C60" s="284" t="s">
        <v>878</v>
      </c>
      <c r="D60" s="284" t="s">
        <v>879</v>
      </c>
      <c r="E60" s="285" t="s">
        <v>339</v>
      </c>
      <c r="F60" s="284">
        <v>43464343</v>
      </c>
      <c r="G60" s="286" t="s">
        <v>340</v>
      </c>
      <c r="H60" s="284">
        <v>3148048</v>
      </c>
      <c r="I60" s="285" t="s">
        <v>840</v>
      </c>
      <c r="J60" s="284"/>
      <c r="K60" s="287">
        <v>1451520</v>
      </c>
      <c r="L60" s="287"/>
      <c r="M60" s="287"/>
      <c r="N60" s="287"/>
      <c r="O60" s="288">
        <v>436857</v>
      </c>
      <c r="P60" s="289">
        <f t="shared" si="1"/>
        <v>1888377</v>
      </c>
      <c r="Q60" s="283"/>
      <c r="R60" s="290"/>
      <c r="S60" s="291"/>
    </row>
    <row r="61" spans="1:19" ht="22.5" customHeight="1" x14ac:dyDescent="0.25">
      <c r="A61" s="283">
        <v>4371</v>
      </c>
      <c r="B61" s="284">
        <v>5223</v>
      </c>
      <c r="C61" s="284" t="s">
        <v>880</v>
      </c>
      <c r="D61" s="284" t="s">
        <v>881</v>
      </c>
      <c r="E61" s="285" t="s">
        <v>341</v>
      </c>
      <c r="F61" s="284">
        <v>73633992</v>
      </c>
      <c r="G61" s="286" t="s">
        <v>340</v>
      </c>
      <c r="H61" s="284">
        <v>3154692</v>
      </c>
      <c r="I61" s="285" t="s">
        <v>840</v>
      </c>
      <c r="J61" s="284"/>
      <c r="K61" s="287">
        <v>918196</v>
      </c>
      <c r="L61" s="287"/>
      <c r="M61" s="287"/>
      <c r="N61" s="287"/>
      <c r="O61" s="288">
        <v>622046</v>
      </c>
      <c r="P61" s="289">
        <f t="shared" si="1"/>
        <v>1540242</v>
      </c>
      <c r="Q61" s="283"/>
      <c r="R61" s="290"/>
      <c r="S61" s="291"/>
    </row>
    <row r="62" spans="1:19" ht="22.5" customHeight="1" x14ac:dyDescent="0.25">
      <c r="A62" s="283">
        <v>4375</v>
      </c>
      <c r="B62" s="284">
        <v>5223</v>
      </c>
      <c r="C62" s="284" t="s">
        <v>880</v>
      </c>
      <c r="D62" s="284" t="s">
        <v>881</v>
      </c>
      <c r="E62" s="285" t="s">
        <v>341</v>
      </c>
      <c r="F62" s="284">
        <v>73633992</v>
      </c>
      <c r="G62" s="286" t="s">
        <v>340</v>
      </c>
      <c r="H62" s="284">
        <v>3428319</v>
      </c>
      <c r="I62" s="285" t="s">
        <v>857</v>
      </c>
      <c r="J62" s="284"/>
      <c r="K62" s="287">
        <v>2100000</v>
      </c>
      <c r="L62" s="287"/>
      <c r="M62" s="287"/>
      <c r="N62" s="287"/>
      <c r="O62" s="288" t="s">
        <v>814</v>
      </c>
      <c r="P62" s="289">
        <f t="shared" si="1"/>
        <v>2100000</v>
      </c>
      <c r="Q62" s="283"/>
      <c r="R62" s="290"/>
      <c r="S62" s="291"/>
    </row>
    <row r="63" spans="1:19" ht="22.5" customHeight="1" x14ac:dyDescent="0.25">
      <c r="A63" s="283">
        <v>4351</v>
      </c>
      <c r="B63" s="284">
        <v>5223</v>
      </c>
      <c r="C63" s="284" t="s">
        <v>880</v>
      </c>
      <c r="D63" s="284" t="s">
        <v>881</v>
      </c>
      <c r="E63" s="285" t="s">
        <v>341</v>
      </c>
      <c r="F63" s="284">
        <v>73633992</v>
      </c>
      <c r="G63" s="286" t="s">
        <v>340</v>
      </c>
      <c r="H63" s="284">
        <v>5741111</v>
      </c>
      <c r="I63" s="285" t="s">
        <v>847</v>
      </c>
      <c r="J63" s="284"/>
      <c r="K63" s="287">
        <v>3525445</v>
      </c>
      <c r="L63" s="287"/>
      <c r="M63" s="287"/>
      <c r="N63" s="287"/>
      <c r="O63" s="288">
        <v>300000</v>
      </c>
      <c r="P63" s="289">
        <f t="shared" si="1"/>
        <v>3825445</v>
      </c>
      <c r="Q63" s="283"/>
      <c r="R63" s="290"/>
      <c r="S63" s="291"/>
    </row>
    <row r="64" spans="1:19" ht="22.5" customHeight="1" x14ac:dyDescent="0.25">
      <c r="A64" s="283">
        <v>4371</v>
      </c>
      <c r="B64" s="284">
        <v>5223</v>
      </c>
      <c r="C64" s="284" t="s">
        <v>880</v>
      </c>
      <c r="D64" s="284" t="s">
        <v>881</v>
      </c>
      <c r="E64" s="285" t="s">
        <v>341</v>
      </c>
      <c r="F64" s="284">
        <v>73633992</v>
      </c>
      <c r="G64" s="286" t="s">
        <v>340</v>
      </c>
      <c r="H64" s="284">
        <v>7080749</v>
      </c>
      <c r="I64" s="285" t="s">
        <v>840</v>
      </c>
      <c r="J64" s="284"/>
      <c r="K64" s="287">
        <v>2126000</v>
      </c>
      <c r="L64" s="287"/>
      <c r="M64" s="287"/>
      <c r="N64" s="287"/>
      <c r="O64" s="288" t="s">
        <v>814</v>
      </c>
      <c r="P64" s="289">
        <f t="shared" si="1"/>
        <v>2126000</v>
      </c>
      <c r="Q64" s="283"/>
      <c r="R64" s="290"/>
      <c r="S64" s="291"/>
    </row>
    <row r="65" spans="1:19" ht="22.5" customHeight="1" x14ac:dyDescent="0.25">
      <c r="A65" s="283">
        <v>4375</v>
      </c>
      <c r="B65" s="284">
        <v>5223</v>
      </c>
      <c r="C65" s="284" t="s">
        <v>880</v>
      </c>
      <c r="D65" s="284" t="s">
        <v>881</v>
      </c>
      <c r="E65" s="285" t="s">
        <v>341</v>
      </c>
      <c r="F65" s="284">
        <v>73633992</v>
      </c>
      <c r="G65" s="286" t="s">
        <v>340</v>
      </c>
      <c r="H65" s="284">
        <v>8492814</v>
      </c>
      <c r="I65" s="285" t="s">
        <v>857</v>
      </c>
      <c r="J65" s="284"/>
      <c r="K65" s="287">
        <v>1260000</v>
      </c>
      <c r="L65" s="287"/>
      <c r="M65" s="287"/>
      <c r="N65" s="287"/>
      <c r="O65" s="288">
        <v>510000</v>
      </c>
      <c r="P65" s="289">
        <f t="shared" si="1"/>
        <v>1770000</v>
      </c>
      <c r="Q65" s="283"/>
      <c r="R65" s="290"/>
      <c r="S65" s="291"/>
    </row>
    <row r="66" spans="1:19" ht="15" customHeight="1" x14ac:dyDescent="0.25">
      <c r="A66" s="283">
        <v>4351</v>
      </c>
      <c r="B66" s="284">
        <v>5223</v>
      </c>
      <c r="C66" s="284" t="s">
        <v>882</v>
      </c>
      <c r="D66" s="284" t="s">
        <v>883</v>
      </c>
      <c r="E66" s="285" t="s">
        <v>88</v>
      </c>
      <c r="F66" s="284">
        <v>40229939</v>
      </c>
      <c r="G66" s="286" t="s">
        <v>340</v>
      </c>
      <c r="H66" s="284">
        <v>3632154</v>
      </c>
      <c r="I66" s="285" t="s">
        <v>847</v>
      </c>
      <c r="J66" s="284"/>
      <c r="K66" s="287">
        <v>2788705</v>
      </c>
      <c r="L66" s="287"/>
      <c r="M66" s="287"/>
      <c r="N66" s="287"/>
      <c r="O66" s="288" t="s">
        <v>814</v>
      </c>
      <c r="P66" s="289">
        <f t="shared" si="1"/>
        <v>2788705</v>
      </c>
      <c r="Q66" s="283"/>
      <c r="R66" s="290"/>
      <c r="S66" s="291"/>
    </row>
    <row r="67" spans="1:19" ht="15" customHeight="1" x14ac:dyDescent="0.25">
      <c r="A67" s="283">
        <v>4312</v>
      </c>
      <c r="B67" s="284">
        <v>5221</v>
      </c>
      <c r="C67" s="284" t="s">
        <v>884</v>
      </c>
      <c r="D67" s="284" t="s">
        <v>885</v>
      </c>
      <c r="E67" s="285" t="s">
        <v>886</v>
      </c>
      <c r="F67" s="284">
        <v>9088091</v>
      </c>
      <c r="G67" s="286" t="s">
        <v>267</v>
      </c>
      <c r="H67" s="284">
        <v>4757012</v>
      </c>
      <c r="I67" s="285" t="s">
        <v>813</v>
      </c>
      <c r="J67" s="284"/>
      <c r="K67" s="287">
        <v>319200</v>
      </c>
      <c r="L67" s="287"/>
      <c r="M67" s="287"/>
      <c r="N67" s="287"/>
      <c r="O67" s="288">
        <v>195000</v>
      </c>
      <c r="P67" s="289">
        <f t="shared" si="1"/>
        <v>514200</v>
      </c>
      <c r="Q67" s="283"/>
      <c r="R67" s="290"/>
      <c r="S67" s="291"/>
    </row>
    <row r="68" spans="1:19" ht="22.5" customHeight="1" x14ac:dyDescent="0.25">
      <c r="A68" s="283">
        <v>4357</v>
      </c>
      <c r="B68" s="284">
        <v>5336</v>
      </c>
      <c r="C68" s="284" t="s">
        <v>887</v>
      </c>
      <c r="D68" s="284" t="s">
        <v>888</v>
      </c>
      <c r="E68" s="285" t="s">
        <v>344</v>
      </c>
      <c r="F68" s="284">
        <v>71220097</v>
      </c>
      <c r="G68" s="286" t="s">
        <v>324</v>
      </c>
      <c r="H68" s="284">
        <v>4418892</v>
      </c>
      <c r="I68" s="285" t="s">
        <v>829</v>
      </c>
      <c r="J68" s="284"/>
      <c r="K68" s="287">
        <v>20535120</v>
      </c>
      <c r="L68" s="287"/>
      <c r="M68" s="287"/>
      <c r="N68" s="287"/>
      <c r="O68" s="288" t="s">
        <v>814</v>
      </c>
      <c r="P68" s="289">
        <f t="shared" si="1"/>
        <v>20535120</v>
      </c>
      <c r="Q68" s="283"/>
      <c r="R68" s="290"/>
      <c r="S68" s="291"/>
    </row>
    <row r="69" spans="1:19" ht="22.5" customHeight="1" x14ac:dyDescent="0.25">
      <c r="A69" s="283">
        <v>4354</v>
      </c>
      <c r="B69" s="284">
        <v>5336</v>
      </c>
      <c r="C69" s="284" t="s">
        <v>887</v>
      </c>
      <c r="D69" s="284" t="s">
        <v>888</v>
      </c>
      <c r="E69" s="285" t="s">
        <v>344</v>
      </c>
      <c r="F69" s="284">
        <v>71220097</v>
      </c>
      <c r="G69" s="286" t="s">
        <v>324</v>
      </c>
      <c r="H69" s="284">
        <v>4890597</v>
      </c>
      <c r="I69" s="285" t="s">
        <v>875</v>
      </c>
      <c r="J69" s="284"/>
      <c r="K69" s="287">
        <v>2376000</v>
      </c>
      <c r="L69" s="287"/>
      <c r="M69" s="287"/>
      <c r="N69" s="287"/>
      <c r="O69" s="288" t="s">
        <v>814</v>
      </c>
      <c r="P69" s="289">
        <f t="shared" si="1"/>
        <v>2376000</v>
      </c>
      <c r="Q69" s="283"/>
      <c r="R69" s="290"/>
      <c r="S69" s="291"/>
    </row>
    <row r="70" spans="1:19" ht="22.5" customHeight="1" x14ac:dyDescent="0.25">
      <c r="A70" s="283">
        <v>4357</v>
      </c>
      <c r="B70" s="284">
        <v>5336</v>
      </c>
      <c r="C70" s="284" t="s">
        <v>889</v>
      </c>
      <c r="D70" s="284" t="s">
        <v>890</v>
      </c>
      <c r="E70" s="285" t="s">
        <v>345</v>
      </c>
      <c r="F70" s="284">
        <v>75070758</v>
      </c>
      <c r="G70" s="286" t="s">
        <v>324</v>
      </c>
      <c r="H70" s="284">
        <v>1347706</v>
      </c>
      <c r="I70" s="285" t="s">
        <v>829</v>
      </c>
      <c r="J70" s="284"/>
      <c r="K70" s="287">
        <v>13100000</v>
      </c>
      <c r="L70" s="287"/>
      <c r="M70" s="287"/>
      <c r="N70" s="287"/>
      <c r="O70" s="288" t="s">
        <v>814</v>
      </c>
      <c r="P70" s="289">
        <f t="shared" si="1"/>
        <v>13100000</v>
      </c>
      <c r="Q70" s="283"/>
      <c r="R70" s="290"/>
      <c r="S70" s="291"/>
    </row>
    <row r="71" spans="1:19" ht="22.5" customHeight="1" x14ac:dyDescent="0.25">
      <c r="A71" s="283">
        <v>4356</v>
      </c>
      <c r="B71" s="284">
        <v>5336</v>
      </c>
      <c r="C71" s="284" t="s">
        <v>889</v>
      </c>
      <c r="D71" s="284" t="s">
        <v>890</v>
      </c>
      <c r="E71" s="285" t="s">
        <v>345</v>
      </c>
      <c r="F71" s="284">
        <v>75070758</v>
      </c>
      <c r="G71" s="286" t="s">
        <v>324</v>
      </c>
      <c r="H71" s="284">
        <v>9653966</v>
      </c>
      <c r="I71" s="285" t="s">
        <v>828</v>
      </c>
      <c r="J71" s="284"/>
      <c r="K71" s="287">
        <v>5000000</v>
      </c>
      <c r="L71" s="287"/>
      <c r="M71" s="287"/>
      <c r="N71" s="287"/>
      <c r="O71" s="288" t="s">
        <v>814</v>
      </c>
      <c r="P71" s="289">
        <f t="shared" ref="P71:P135" si="2">K71-L71+O71</f>
        <v>5000000</v>
      </c>
      <c r="Q71" s="283"/>
      <c r="R71" s="290"/>
      <c r="S71" s="291"/>
    </row>
    <row r="72" spans="1:19" ht="22.5" customHeight="1" x14ac:dyDescent="0.25">
      <c r="A72" s="283">
        <v>4350</v>
      </c>
      <c r="B72" s="284">
        <v>5321</v>
      </c>
      <c r="C72" s="284" t="s">
        <v>891</v>
      </c>
      <c r="D72" s="284" t="s">
        <v>892</v>
      </c>
      <c r="E72" s="285" t="s">
        <v>346</v>
      </c>
      <c r="F72" s="284">
        <v>71167463</v>
      </c>
      <c r="G72" s="286" t="s">
        <v>324</v>
      </c>
      <c r="H72" s="284">
        <v>3001174</v>
      </c>
      <c r="I72" s="285" t="s">
        <v>817</v>
      </c>
      <c r="J72" s="284"/>
      <c r="K72" s="287">
        <v>8190000</v>
      </c>
      <c r="L72" s="287"/>
      <c r="M72" s="287"/>
      <c r="N72" s="287"/>
      <c r="O72" s="288" t="s">
        <v>814</v>
      </c>
      <c r="P72" s="289">
        <f t="shared" si="2"/>
        <v>8190000</v>
      </c>
      <c r="Q72" s="283"/>
      <c r="R72" s="290"/>
      <c r="S72" s="291"/>
    </row>
    <row r="73" spans="1:19" ht="22.5" customHeight="1" x14ac:dyDescent="0.25">
      <c r="A73" s="283">
        <v>4351</v>
      </c>
      <c r="B73" s="284">
        <v>5321</v>
      </c>
      <c r="C73" s="284" t="s">
        <v>891</v>
      </c>
      <c r="D73" s="284" t="s">
        <v>892</v>
      </c>
      <c r="E73" s="285" t="s">
        <v>346</v>
      </c>
      <c r="F73" s="284">
        <v>71167463</v>
      </c>
      <c r="G73" s="286" t="s">
        <v>324</v>
      </c>
      <c r="H73" s="284">
        <v>3555154</v>
      </c>
      <c r="I73" s="285" t="s">
        <v>847</v>
      </c>
      <c r="J73" s="284"/>
      <c r="K73" s="287">
        <v>1680463</v>
      </c>
      <c r="L73" s="287"/>
      <c r="M73" s="287"/>
      <c r="N73" s="287"/>
      <c r="O73" s="288" t="s">
        <v>814</v>
      </c>
      <c r="P73" s="289">
        <f t="shared" si="2"/>
        <v>1680463</v>
      </c>
      <c r="Q73" s="283"/>
      <c r="R73" s="290"/>
      <c r="S73" s="291"/>
    </row>
    <row r="74" spans="1:19" ht="22.5" customHeight="1" x14ac:dyDescent="0.25">
      <c r="A74" s="283">
        <v>4357</v>
      </c>
      <c r="B74" s="284">
        <v>5336</v>
      </c>
      <c r="C74" s="284" t="s">
        <v>893</v>
      </c>
      <c r="D74" s="284" t="s">
        <v>894</v>
      </c>
      <c r="E74" s="285" t="s">
        <v>347</v>
      </c>
      <c r="F74" s="284">
        <v>71220020</v>
      </c>
      <c r="G74" s="286" t="s">
        <v>324</v>
      </c>
      <c r="H74" s="284">
        <v>3139161</v>
      </c>
      <c r="I74" s="285" t="s">
        <v>825</v>
      </c>
      <c r="J74" s="284"/>
      <c r="K74" s="287">
        <v>14294000</v>
      </c>
      <c r="L74" s="287"/>
      <c r="M74" s="287"/>
      <c r="N74" s="287"/>
      <c r="O74" s="288" t="s">
        <v>814</v>
      </c>
      <c r="P74" s="289">
        <f t="shared" si="2"/>
        <v>14294000</v>
      </c>
      <c r="Q74" s="283"/>
      <c r="R74" s="290"/>
      <c r="S74" s="291"/>
    </row>
    <row r="75" spans="1:19" ht="22.5" customHeight="1" x14ac:dyDescent="0.25">
      <c r="A75" s="283">
        <v>4350</v>
      </c>
      <c r="B75" s="284">
        <v>5336</v>
      </c>
      <c r="C75" s="284" t="s">
        <v>893</v>
      </c>
      <c r="D75" s="284" t="s">
        <v>894</v>
      </c>
      <c r="E75" s="285" t="s">
        <v>347</v>
      </c>
      <c r="F75" s="284">
        <v>71220020</v>
      </c>
      <c r="G75" s="286" t="s">
        <v>324</v>
      </c>
      <c r="H75" s="284">
        <v>8588423</v>
      </c>
      <c r="I75" s="285" t="s">
        <v>817</v>
      </c>
      <c r="J75" s="284"/>
      <c r="K75" s="287">
        <v>6999000</v>
      </c>
      <c r="L75" s="287"/>
      <c r="M75" s="287"/>
      <c r="N75" s="287"/>
      <c r="O75" s="288" t="s">
        <v>814</v>
      </c>
      <c r="P75" s="289">
        <f t="shared" si="2"/>
        <v>6999000</v>
      </c>
      <c r="Q75" s="283"/>
      <c r="R75" s="290"/>
      <c r="S75" s="291"/>
    </row>
    <row r="76" spans="1:19" ht="22.5" customHeight="1" x14ac:dyDescent="0.25">
      <c r="A76" s="283">
        <v>4357</v>
      </c>
      <c r="B76" s="284">
        <v>5336</v>
      </c>
      <c r="C76" s="284" t="s">
        <v>895</v>
      </c>
      <c r="D76" s="284" t="s">
        <v>896</v>
      </c>
      <c r="E76" s="285" t="s">
        <v>348</v>
      </c>
      <c r="F76" s="284">
        <v>71220011</v>
      </c>
      <c r="G76" s="286" t="s">
        <v>324</v>
      </c>
      <c r="H76" s="284">
        <v>4654168</v>
      </c>
      <c r="I76" s="285" t="s">
        <v>825</v>
      </c>
      <c r="J76" s="284"/>
      <c r="K76" s="287">
        <v>12029727</v>
      </c>
      <c r="L76" s="287"/>
      <c r="M76" s="287"/>
      <c r="N76" s="287"/>
      <c r="O76" s="288" t="s">
        <v>814</v>
      </c>
      <c r="P76" s="289">
        <f t="shared" si="2"/>
        <v>12029727</v>
      </c>
      <c r="Q76" s="283"/>
      <c r="R76" s="290"/>
      <c r="S76" s="291"/>
    </row>
    <row r="77" spans="1:19" ht="22.5" customHeight="1" x14ac:dyDescent="0.25">
      <c r="A77" s="283">
        <v>4350</v>
      </c>
      <c r="B77" s="284">
        <v>5336</v>
      </c>
      <c r="C77" s="284" t="s">
        <v>895</v>
      </c>
      <c r="D77" s="284" t="s">
        <v>896</v>
      </c>
      <c r="E77" s="285" t="s">
        <v>348</v>
      </c>
      <c r="F77" s="284">
        <v>71220011</v>
      </c>
      <c r="G77" s="286" t="s">
        <v>324</v>
      </c>
      <c r="H77" s="284">
        <v>9139875</v>
      </c>
      <c r="I77" s="285" t="s">
        <v>817</v>
      </c>
      <c r="J77" s="284"/>
      <c r="K77" s="287">
        <v>10998000</v>
      </c>
      <c r="L77" s="287"/>
      <c r="M77" s="287"/>
      <c r="N77" s="287"/>
      <c r="O77" s="288" t="s">
        <v>814</v>
      </c>
      <c r="P77" s="289">
        <f t="shared" si="2"/>
        <v>10998000</v>
      </c>
      <c r="Q77" s="283"/>
      <c r="R77" s="290"/>
      <c r="S77" s="291"/>
    </row>
    <row r="78" spans="1:19" ht="22.5" customHeight="1" x14ac:dyDescent="0.25">
      <c r="A78" s="283">
        <v>4357</v>
      </c>
      <c r="B78" s="284">
        <v>5336</v>
      </c>
      <c r="C78" s="284" t="s">
        <v>897</v>
      </c>
      <c r="D78" s="284" t="s">
        <v>898</v>
      </c>
      <c r="E78" s="285" t="s">
        <v>349</v>
      </c>
      <c r="F78" s="284">
        <v>71220046</v>
      </c>
      <c r="G78" s="286" t="s">
        <v>324</v>
      </c>
      <c r="H78" s="284">
        <v>9266427</v>
      </c>
      <c r="I78" s="285" t="s">
        <v>825</v>
      </c>
      <c r="J78" s="284"/>
      <c r="K78" s="287">
        <v>14485000</v>
      </c>
      <c r="L78" s="287"/>
      <c r="M78" s="287"/>
      <c r="N78" s="287"/>
      <c r="O78" s="288" t="s">
        <v>814</v>
      </c>
      <c r="P78" s="289">
        <f t="shared" si="2"/>
        <v>14485000</v>
      </c>
      <c r="Q78" s="283"/>
      <c r="R78" s="290"/>
      <c r="S78" s="291"/>
    </row>
    <row r="79" spans="1:19" ht="22.5" customHeight="1" x14ac:dyDescent="0.25">
      <c r="A79" s="283">
        <v>4350</v>
      </c>
      <c r="B79" s="284">
        <v>5336</v>
      </c>
      <c r="C79" s="284" t="s">
        <v>897</v>
      </c>
      <c r="D79" s="284" t="s">
        <v>898</v>
      </c>
      <c r="E79" s="285" t="s">
        <v>349</v>
      </c>
      <c r="F79" s="284">
        <v>71220046</v>
      </c>
      <c r="G79" s="286" t="s">
        <v>324</v>
      </c>
      <c r="H79" s="284">
        <v>9450071</v>
      </c>
      <c r="I79" s="285" t="s">
        <v>817</v>
      </c>
      <c r="J79" s="284"/>
      <c r="K79" s="287">
        <v>4212000</v>
      </c>
      <c r="L79" s="287"/>
      <c r="M79" s="287"/>
      <c r="N79" s="287"/>
      <c r="O79" s="288" t="s">
        <v>814</v>
      </c>
      <c r="P79" s="289">
        <f t="shared" si="2"/>
        <v>4212000</v>
      </c>
      <c r="Q79" s="283"/>
      <c r="R79" s="290"/>
      <c r="S79" s="291"/>
    </row>
    <row r="80" spans="1:19" ht="22.5" customHeight="1" x14ac:dyDescent="0.25">
      <c r="A80" s="283">
        <v>4350</v>
      </c>
      <c r="B80" s="284">
        <v>5336</v>
      </c>
      <c r="C80" s="284" t="s">
        <v>899</v>
      </c>
      <c r="D80" s="284" t="s">
        <v>900</v>
      </c>
      <c r="E80" s="285" t="s">
        <v>350</v>
      </c>
      <c r="F80" s="284">
        <v>85782</v>
      </c>
      <c r="G80" s="286" t="s">
        <v>324</v>
      </c>
      <c r="H80" s="284">
        <v>2522751</v>
      </c>
      <c r="I80" s="285" t="s">
        <v>817</v>
      </c>
      <c r="J80" s="284"/>
      <c r="K80" s="287">
        <v>10373340</v>
      </c>
      <c r="L80" s="287"/>
      <c r="M80" s="287"/>
      <c r="N80" s="287"/>
      <c r="O80" s="288" t="s">
        <v>814</v>
      </c>
      <c r="P80" s="289">
        <f t="shared" si="2"/>
        <v>10373340</v>
      </c>
      <c r="Q80" s="283"/>
      <c r="R80" s="290"/>
      <c r="S80" s="291"/>
    </row>
    <row r="81" spans="1:19" ht="22.5" customHeight="1" x14ac:dyDescent="0.25">
      <c r="A81" s="283">
        <v>4357</v>
      </c>
      <c r="B81" s="284">
        <v>5336</v>
      </c>
      <c r="C81" s="284" t="s">
        <v>899</v>
      </c>
      <c r="D81" s="284" t="s">
        <v>900</v>
      </c>
      <c r="E81" s="285" t="s">
        <v>350</v>
      </c>
      <c r="F81" s="284">
        <v>85782</v>
      </c>
      <c r="G81" s="286" t="s">
        <v>324</v>
      </c>
      <c r="H81" s="284">
        <v>8760544</v>
      </c>
      <c r="I81" s="285" t="s">
        <v>825</v>
      </c>
      <c r="J81" s="284"/>
      <c r="K81" s="287">
        <v>11162100</v>
      </c>
      <c r="L81" s="287"/>
      <c r="M81" s="287"/>
      <c r="N81" s="287"/>
      <c r="O81" s="288" t="s">
        <v>814</v>
      </c>
      <c r="P81" s="289">
        <f t="shared" si="2"/>
        <v>11162100</v>
      </c>
      <c r="Q81" s="283"/>
      <c r="R81" s="290"/>
      <c r="S81" s="291"/>
    </row>
    <row r="82" spans="1:19" ht="22.5" customHeight="1" x14ac:dyDescent="0.25">
      <c r="A82" s="283">
        <v>4357</v>
      </c>
      <c r="B82" s="284">
        <v>5336</v>
      </c>
      <c r="C82" s="284" t="s">
        <v>901</v>
      </c>
      <c r="D82" s="284" t="s">
        <v>902</v>
      </c>
      <c r="E82" s="285" t="s">
        <v>352</v>
      </c>
      <c r="F82" s="284">
        <v>48282928</v>
      </c>
      <c r="G82" s="286" t="s">
        <v>324</v>
      </c>
      <c r="H82" s="284">
        <v>9835515</v>
      </c>
      <c r="I82" s="285" t="s">
        <v>825</v>
      </c>
      <c r="J82" s="284"/>
      <c r="K82" s="287">
        <v>18020148</v>
      </c>
      <c r="L82" s="287"/>
      <c r="M82" s="287"/>
      <c r="N82" s="287"/>
      <c r="O82" s="288" t="s">
        <v>814</v>
      </c>
      <c r="P82" s="289">
        <f t="shared" si="2"/>
        <v>18020148</v>
      </c>
      <c r="Q82" s="283"/>
      <c r="R82" s="290"/>
      <c r="S82" s="291"/>
    </row>
    <row r="83" spans="1:19" ht="22.5" customHeight="1" x14ac:dyDescent="0.25">
      <c r="A83" s="283">
        <v>4350</v>
      </c>
      <c r="B83" s="284">
        <v>5336</v>
      </c>
      <c r="C83" s="284" t="s">
        <v>903</v>
      </c>
      <c r="D83" s="284" t="s">
        <v>904</v>
      </c>
      <c r="E83" s="285" t="s">
        <v>353</v>
      </c>
      <c r="F83" s="284">
        <v>71220003</v>
      </c>
      <c r="G83" s="286" t="s">
        <v>324</v>
      </c>
      <c r="H83" s="284">
        <v>2138835</v>
      </c>
      <c r="I83" s="285" t="s">
        <v>817</v>
      </c>
      <c r="J83" s="284"/>
      <c r="K83" s="287">
        <v>20387222</v>
      </c>
      <c r="L83" s="287"/>
      <c r="M83" s="287"/>
      <c r="N83" s="287"/>
      <c r="O83" s="288" t="s">
        <v>814</v>
      </c>
      <c r="P83" s="289">
        <f t="shared" si="2"/>
        <v>20387222</v>
      </c>
      <c r="Q83" s="283"/>
      <c r="R83" s="290"/>
      <c r="S83" s="291"/>
    </row>
    <row r="84" spans="1:19" ht="22.5" customHeight="1" x14ac:dyDescent="0.25">
      <c r="A84" s="283">
        <v>4357</v>
      </c>
      <c r="B84" s="284">
        <v>5336</v>
      </c>
      <c r="C84" s="284" t="s">
        <v>903</v>
      </c>
      <c r="D84" s="284" t="s">
        <v>904</v>
      </c>
      <c r="E84" s="285" t="s">
        <v>353</v>
      </c>
      <c r="F84" s="284">
        <v>71220003</v>
      </c>
      <c r="G84" s="286" t="s">
        <v>324</v>
      </c>
      <c r="H84" s="284">
        <v>4630845</v>
      </c>
      <c r="I84" s="285" t="s">
        <v>825</v>
      </c>
      <c r="J84" s="284"/>
      <c r="K84" s="287">
        <v>7524000</v>
      </c>
      <c r="L84" s="287"/>
      <c r="M84" s="287"/>
      <c r="N84" s="287"/>
      <c r="O84" s="288" t="s">
        <v>814</v>
      </c>
      <c r="P84" s="289">
        <f t="shared" si="2"/>
        <v>7524000</v>
      </c>
      <c r="Q84" s="283"/>
      <c r="R84" s="290"/>
      <c r="S84" s="291"/>
    </row>
    <row r="85" spans="1:19" ht="15" customHeight="1" x14ac:dyDescent="0.25">
      <c r="A85" s="283">
        <v>4377</v>
      </c>
      <c r="B85" s="284">
        <v>5336</v>
      </c>
      <c r="C85" s="284" t="s">
        <v>905</v>
      </c>
      <c r="D85" s="284" t="s">
        <v>906</v>
      </c>
      <c r="E85" s="285" t="s">
        <v>355</v>
      </c>
      <c r="F85" s="284">
        <v>71220089</v>
      </c>
      <c r="G85" s="286" t="s">
        <v>324</v>
      </c>
      <c r="H85" s="284">
        <v>1467756</v>
      </c>
      <c r="I85" s="285" t="s">
        <v>874</v>
      </c>
      <c r="J85" s="284"/>
      <c r="K85" s="287">
        <v>4254852</v>
      </c>
      <c r="L85" s="292">
        <v>2552911</v>
      </c>
      <c r="M85" s="292">
        <v>1701941</v>
      </c>
      <c r="N85" s="292">
        <f>L85+M85</f>
        <v>4254852</v>
      </c>
      <c r="O85" s="288" t="s">
        <v>814</v>
      </c>
      <c r="P85" s="289">
        <f>K85-L85-M85+O85</f>
        <v>0</v>
      </c>
      <c r="Q85" s="283"/>
      <c r="R85" s="290"/>
      <c r="S85" s="291"/>
    </row>
    <row r="86" spans="1:19" ht="22.5" customHeight="1" x14ac:dyDescent="0.25">
      <c r="A86" s="283">
        <v>4357</v>
      </c>
      <c r="B86" s="284">
        <v>5336</v>
      </c>
      <c r="C86" s="284" t="s">
        <v>905</v>
      </c>
      <c r="D86" s="284" t="s">
        <v>906</v>
      </c>
      <c r="E86" s="285" t="s">
        <v>355</v>
      </c>
      <c r="F86" s="284">
        <v>71220089</v>
      </c>
      <c r="G86" s="286" t="s">
        <v>324</v>
      </c>
      <c r="H86" s="284">
        <v>3152221</v>
      </c>
      <c r="I86" s="285" t="s">
        <v>829</v>
      </c>
      <c r="J86" s="284"/>
      <c r="K86" s="287">
        <v>19035600</v>
      </c>
      <c r="L86" s="287"/>
      <c r="M86" s="287"/>
      <c r="N86" s="287"/>
      <c r="O86" s="288" t="s">
        <v>814</v>
      </c>
      <c r="P86" s="289">
        <f t="shared" si="2"/>
        <v>19035600</v>
      </c>
      <c r="Q86" s="283"/>
      <c r="R86" s="290"/>
      <c r="S86" s="291"/>
    </row>
    <row r="87" spans="1:19" ht="22.5" customHeight="1" x14ac:dyDescent="0.25">
      <c r="A87" s="283">
        <v>4357</v>
      </c>
      <c r="B87" s="284">
        <v>5321</v>
      </c>
      <c r="C87" s="284" t="s">
        <v>907</v>
      </c>
      <c r="D87" s="284" t="s">
        <v>908</v>
      </c>
      <c r="E87" s="285" t="s">
        <v>468</v>
      </c>
      <c r="F87" s="284">
        <v>10898174</v>
      </c>
      <c r="G87" s="286" t="s">
        <v>324</v>
      </c>
      <c r="H87" s="284">
        <v>1979411</v>
      </c>
      <c r="I87" s="285" t="s">
        <v>825</v>
      </c>
      <c r="J87" s="284"/>
      <c r="K87" s="287">
        <v>15324890</v>
      </c>
      <c r="L87" s="287"/>
      <c r="M87" s="287"/>
      <c r="N87" s="287"/>
      <c r="O87" s="288" t="s">
        <v>814</v>
      </c>
      <c r="P87" s="289">
        <f t="shared" si="2"/>
        <v>15324890</v>
      </c>
      <c r="Q87" s="283"/>
      <c r="R87" s="290"/>
      <c r="S87" s="291"/>
    </row>
    <row r="88" spans="1:19" ht="22.5" customHeight="1" x14ac:dyDescent="0.25">
      <c r="A88" s="283">
        <v>4350</v>
      </c>
      <c r="B88" s="284">
        <v>5321</v>
      </c>
      <c r="C88" s="284" t="s">
        <v>907</v>
      </c>
      <c r="D88" s="284" t="s">
        <v>908</v>
      </c>
      <c r="E88" s="285" t="s">
        <v>468</v>
      </c>
      <c r="F88" s="284">
        <v>10898174</v>
      </c>
      <c r="G88" s="286" t="s">
        <v>324</v>
      </c>
      <c r="H88" s="284">
        <v>5448456</v>
      </c>
      <c r="I88" s="285" t="s">
        <v>817</v>
      </c>
      <c r="J88" s="284"/>
      <c r="K88" s="287">
        <v>6515347</v>
      </c>
      <c r="L88" s="287"/>
      <c r="M88" s="287"/>
      <c r="N88" s="287"/>
      <c r="O88" s="288" t="s">
        <v>814</v>
      </c>
      <c r="P88" s="289">
        <f t="shared" si="2"/>
        <v>6515347</v>
      </c>
      <c r="Q88" s="283"/>
      <c r="R88" s="290"/>
      <c r="S88" s="291"/>
    </row>
    <row r="89" spans="1:19" ht="22.5" customHeight="1" x14ac:dyDescent="0.25">
      <c r="A89" s="283">
        <v>4357</v>
      </c>
      <c r="B89" s="284">
        <v>5336</v>
      </c>
      <c r="C89" s="284" t="s">
        <v>909</v>
      </c>
      <c r="D89" s="284" t="s">
        <v>910</v>
      </c>
      <c r="E89" s="285" t="s">
        <v>356</v>
      </c>
      <c r="F89" s="284">
        <v>48282936</v>
      </c>
      <c r="G89" s="286" t="s">
        <v>324</v>
      </c>
      <c r="H89" s="284">
        <v>3438523</v>
      </c>
      <c r="I89" s="285" t="s">
        <v>829</v>
      </c>
      <c r="J89" s="284"/>
      <c r="K89" s="287">
        <v>28225200</v>
      </c>
      <c r="L89" s="287"/>
      <c r="M89" s="287"/>
      <c r="N89" s="287"/>
      <c r="O89" s="288" t="s">
        <v>814</v>
      </c>
      <c r="P89" s="289">
        <f t="shared" si="2"/>
        <v>28225200</v>
      </c>
      <c r="Q89" s="283"/>
      <c r="R89" s="290"/>
      <c r="S89" s="291"/>
    </row>
    <row r="90" spans="1:19" ht="22.5" customHeight="1" x14ac:dyDescent="0.25">
      <c r="A90" s="283">
        <v>4350</v>
      </c>
      <c r="B90" s="284">
        <v>5223</v>
      </c>
      <c r="C90" s="284" t="s">
        <v>911</v>
      </c>
      <c r="D90" s="284" t="s">
        <v>912</v>
      </c>
      <c r="E90" s="285" t="s">
        <v>913</v>
      </c>
      <c r="F90" s="284">
        <v>73632791</v>
      </c>
      <c r="G90" s="286" t="s">
        <v>340</v>
      </c>
      <c r="H90" s="284">
        <v>3988103</v>
      </c>
      <c r="I90" s="285" t="s">
        <v>817</v>
      </c>
      <c r="J90" s="284"/>
      <c r="K90" s="287">
        <v>9500000</v>
      </c>
      <c r="L90" s="287"/>
      <c r="M90" s="287"/>
      <c r="N90" s="287"/>
      <c r="O90" s="288" t="s">
        <v>814</v>
      </c>
      <c r="P90" s="289">
        <f t="shared" si="2"/>
        <v>9500000</v>
      </c>
      <c r="Q90" s="283"/>
      <c r="R90" s="290"/>
      <c r="S90" s="291"/>
    </row>
    <row r="91" spans="1:19" ht="22.5" customHeight="1" x14ac:dyDescent="0.25">
      <c r="A91" s="283">
        <v>4351</v>
      </c>
      <c r="B91" s="284">
        <v>5321</v>
      </c>
      <c r="C91" s="284" t="s">
        <v>914</v>
      </c>
      <c r="D91" s="284" t="s">
        <v>915</v>
      </c>
      <c r="E91" s="285" t="s">
        <v>359</v>
      </c>
      <c r="F91" s="284">
        <v>60254050</v>
      </c>
      <c r="G91" s="286" t="s">
        <v>324</v>
      </c>
      <c r="H91" s="284">
        <v>1526260</v>
      </c>
      <c r="I91" s="285" t="s">
        <v>847</v>
      </c>
      <c r="J91" s="284"/>
      <c r="K91" s="287">
        <v>2540258</v>
      </c>
      <c r="L91" s="287"/>
      <c r="M91" s="287"/>
      <c r="N91" s="287"/>
      <c r="O91" s="288">
        <v>282984</v>
      </c>
      <c r="P91" s="289">
        <f t="shared" si="2"/>
        <v>2823242</v>
      </c>
      <c r="Q91" s="283"/>
      <c r="R91" s="290"/>
      <c r="S91" s="291"/>
    </row>
    <row r="92" spans="1:19" ht="22.5" customHeight="1" x14ac:dyDescent="0.25">
      <c r="A92" s="283">
        <v>4350</v>
      </c>
      <c r="B92" s="284">
        <v>5321</v>
      </c>
      <c r="C92" s="284" t="s">
        <v>916</v>
      </c>
      <c r="D92" s="284" t="s">
        <v>917</v>
      </c>
      <c r="E92" s="285" t="s">
        <v>469</v>
      </c>
      <c r="F92" s="284">
        <v>10808108</v>
      </c>
      <c r="G92" s="286" t="s">
        <v>324</v>
      </c>
      <c r="H92" s="284">
        <v>4193951</v>
      </c>
      <c r="I92" s="285" t="s">
        <v>817</v>
      </c>
      <c r="J92" s="284"/>
      <c r="K92" s="287">
        <v>25849794</v>
      </c>
      <c r="L92" s="287"/>
      <c r="M92" s="287"/>
      <c r="N92" s="287"/>
      <c r="O92" s="288">
        <v>88800</v>
      </c>
      <c r="P92" s="289">
        <f t="shared" si="2"/>
        <v>25938594</v>
      </c>
      <c r="Q92" s="283"/>
      <c r="R92" s="290"/>
      <c r="S92" s="291"/>
    </row>
    <row r="93" spans="1:19" ht="22.5" customHeight="1" x14ac:dyDescent="0.25">
      <c r="A93" s="283">
        <v>4357</v>
      </c>
      <c r="B93" s="284">
        <v>5321</v>
      </c>
      <c r="C93" s="284" t="s">
        <v>916</v>
      </c>
      <c r="D93" s="284" t="s">
        <v>917</v>
      </c>
      <c r="E93" s="285" t="s">
        <v>469</v>
      </c>
      <c r="F93" s="284">
        <v>10808108</v>
      </c>
      <c r="G93" s="286" t="s">
        <v>324</v>
      </c>
      <c r="H93" s="284">
        <v>8425917</v>
      </c>
      <c r="I93" s="285" t="s">
        <v>825</v>
      </c>
      <c r="J93" s="284"/>
      <c r="K93" s="287">
        <v>9700140</v>
      </c>
      <c r="L93" s="287"/>
      <c r="M93" s="287"/>
      <c r="N93" s="287"/>
      <c r="O93" s="288">
        <v>36850</v>
      </c>
      <c r="P93" s="289">
        <f t="shared" si="2"/>
        <v>9736990</v>
      </c>
      <c r="Q93" s="283"/>
      <c r="R93" s="290"/>
      <c r="S93" s="291"/>
    </row>
    <row r="94" spans="1:19" ht="15" customHeight="1" x14ac:dyDescent="0.25">
      <c r="A94" s="283">
        <v>4344</v>
      </c>
      <c r="B94" s="284">
        <v>5222</v>
      </c>
      <c r="C94" s="284" t="s">
        <v>918</v>
      </c>
      <c r="D94" s="284" t="s">
        <v>919</v>
      </c>
      <c r="E94" s="285" t="s">
        <v>361</v>
      </c>
      <c r="F94" s="284">
        <v>26586100</v>
      </c>
      <c r="G94" s="286" t="s">
        <v>288</v>
      </c>
      <c r="H94" s="284">
        <v>7890129</v>
      </c>
      <c r="I94" s="285" t="s">
        <v>869</v>
      </c>
      <c r="J94" s="284"/>
      <c r="K94" s="287">
        <v>780960</v>
      </c>
      <c r="L94" s="287"/>
      <c r="M94" s="287"/>
      <c r="N94" s="287"/>
      <c r="O94" s="288" t="s">
        <v>814</v>
      </c>
      <c r="P94" s="289">
        <f t="shared" si="2"/>
        <v>780960</v>
      </c>
      <c r="Q94" s="283"/>
      <c r="R94" s="290"/>
      <c r="S94" s="291"/>
    </row>
    <row r="95" spans="1:19" ht="15" customHeight="1" x14ac:dyDescent="0.25">
      <c r="A95" s="283">
        <v>4357</v>
      </c>
      <c r="B95" s="284">
        <v>5221</v>
      </c>
      <c r="C95" s="284" t="s">
        <v>920</v>
      </c>
      <c r="D95" s="284" t="s">
        <v>921</v>
      </c>
      <c r="E95" s="285" t="s">
        <v>197</v>
      </c>
      <c r="F95" s="284">
        <v>46749411</v>
      </c>
      <c r="G95" s="286" t="s">
        <v>318</v>
      </c>
      <c r="H95" s="284">
        <v>1226991</v>
      </c>
      <c r="I95" s="285" t="s">
        <v>825</v>
      </c>
      <c r="J95" s="284"/>
      <c r="K95" s="287">
        <v>5454000</v>
      </c>
      <c r="L95" s="287"/>
      <c r="M95" s="287"/>
      <c r="N95" s="287"/>
      <c r="O95" s="288">
        <v>186450</v>
      </c>
      <c r="P95" s="289">
        <f t="shared" si="2"/>
        <v>5640450</v>
      </c>
      <c r="Q95" s="283"/>
      <c r="R95" s="290"/>
      <c r="S95" s="291"/>
    </row>
    <row r="96" spans="1:19" ht="15" customHeight="1" x14ac:dyDescent="0.25">
      <c r="A96" s="283">
        <v>4351</v>
      </c>
      <c r="B96" s="284">
        <v>5221</v>
      </c>
      <c r="C96" s="284" t="s">
        <v>920</v>
      </c>
      <c r="D96" s="284" t="s">
        <v>921</v>
      </c>
      <c r="E96" s="285" t="s">
        <v>197</v>
      </c>
      <c r="F96" s="284">
        <v>46749411</v>
      </c>
      <c r="G96" s="286" t="s">
        <v>318</v>
      </c>
      <c r="H96" s="284">
        <v>3596108</v>
      </c>
      <c r="I96" s="285" t="s">
        <v>922</v>
      </c>
      <c r="J96" s="284"/>
      <c r="K96" s="287">
        <v>7271096</v>
      </c>
      <c r="L96" s="292">
        <v>4362658</v>
      </c>
      <c r="M96" s="292">
        <v>2908438</v>
      </c>
      <c r="N96" s="292">
        <f>L96+M96</f>
        <v>7271096</v>
      </c>
      <c r="O96" s="288" t="s">
        <v>814</v>
      </c>
      <c r="P96" s="289">
        <f>K96-L96-M96+O96</f>
        <v>0</v>
      </c>
      <c r="Q96" s="283"/>
      <c r="R96" s="290"/>
      <c r="S96" s="291"/>
    </row>
    <row r="97" spans="1:19" ht="15" customHeight="1" x14ac:dyDescent="0.25">
      <c r="A97" s="283">
        <v>4354</v>
      </c>
      <c r="B97" s="284">
        <v>5221</v>
      </c>
      <c r="C97" s="284" t="s">
        <v>920</v>
      </c>
      <c r="D97" s="284" t="s">
        <v>921</v>
      </c>
      <c r="E97" s="285" t="s">
        <v>197</v>
      </c>
      <c r="F97" s="284">
        <v>46749411</v>
      </c>
      <c r="G97" s="286" t="s">
        <v>318</v>
      </c>
      <c r="H97" s="284">
        <v>3865693</v>
      </c>
      <c r="I97" s="285" t="s">
        <v>875</v>
      </c>
      <c r="J97" s="284"/>
      <c r="K97" s="287">
        <v>5254037</v>
      </c>
      <c r="L97" s="287"/>
      <c r="M97" s="287"/>
      <c r="N97" s="287"/>
      <c r="O97" s="288" t="s">
        <v>814</v>
      </c>
      <c r="P97" s="289">
        <f t="shared" si="2"/>
        <v>5254037</v>
      </c>
      <c r="Q97" s="283"/>
      <c r="R97" s="290"/>
      <c r="S97" s="291"/>
    </row>
    <row r="98" spans="1:19" ht="15" customHeight="1" x14ac:dyDescent="0.25">
      <c r="A98" s="283">
        <v>4377</v>
      </c>
      <c r="B98" s="284">
        <v>5221</v>
      </c>
      <c r="C98" s="284" t="s">
        <v>920</v>
      </c>
      <c r="D98" s="284" t="s">
        <v>921</v>
      </c>
      <c r="E98" s="285" t="s">
        <v>197</v>
      </c>
      <c r="F98" s="284">
        <v>46749411</v>
      </c>
      <c r="G98" s="286" t="s">
        <v>318</v>
      </c>
      <c r="H98" s="284">
        <v>5563434</v>
      </c>
      <c r="I98" s="285" t="s">
        <v>874</v>
      </c>
      <c r="J98" s="284"/>
      <c r="K98" s="287">
        <v>2697428</v>
      </c>
      <c r="L98" s="292">
        <v>1618457</v>
      </c>
      <c r="M98" s="292">
        <v>1078971</v>
      </c>
      <c r="N98" s="292">
        <f t="shared" ref="N98:N103" si="3">L98+M98</f>
        <v>2697428</v>
      </c>
      <c r="O98" s="288" t="s">
        <v>814</v>
      </c>
      <c r="P98" s="289">
        <f t="shared" ref="P98:P103" si="4">K98-L98-M98+O98</f>
        <v>0</v>
      </c>
      <c r="Q98" s="283"/>
      <c r="R98" s="290"/>
      <c r="S98" s="291"/>
    </row>
    <row r="99" spans="1:19" ht="15" customHeight="1" x14ac:dyDescent="0.25">
      <c r="A99" s="283">
        <v>4344</v>
      </c>
      <c r="B99" s="284">
        <v>5221</v>
      </c>
      <c r="C99" s="284" t="s">
        <v>920</v>
      </c>
      <c r="D99" s="284" t="s">
        <v>921</v>
      </c>
      <c r="E99" s="285" t="s">
        <v>197</v>
      </c>
      <c r="F99" s="284">
        <v>46749411</v>
      </c>
      <c r="G99" s="286" t="s">
        <v>318</v>
      </c>
      <c r="H99" s="284">
        <v>8208204</v>
      </c>
      <c r="I99" s="285" t="s">
        <v>869</v>
      </c>
      <c r="J99" s="284"/>
      <c r="K99" s="287">
        <v>10023847</v>
      </c>
      <c r="L99" s="292">
        <v>6014308</v>
      </c>
      <c r="M99" s="292">
        <v>4009539</v>
      </c>
      <c r="N99" s="292">
        <f t="shared" si="3"/>
        <v>10023847</v>
      </c>
      <c r="O99" s="288" t="s">
        <v>814</v>
      </c>
      <c r="P99" s="289">
        <f t="shared" si="4"/>
        <v>0</v>
      </c>
      <c r="Q99" s="283"/>
      <c r="R99" s="290"/>
      <c r="S99" s="291"/>
    </row>
    <row r="100" spans="1:19" ht="15" customHeight="1" x14ac:dyDescent="0.25">
      <c r="A100" s="283">
        <v>4377</v>
      </c>
      <c r="B100" s="284">
        <v>5222</v>
      </c>
      <c r="C100" s="284" t="s">
        <v>923</v>
      </c>
      <c r="D100" s="284" t="s">
        <v>924</v>
      </c>
      <c r="E100" s="285" t="s">
        <v>366</v>
      </c>
      <c r="F100" s="284">
        <v>22871080</v>
      </c>
      <c r="G100" s="286" t="s">
        <v>288</v>
      </c>
      <c r="H100" s="284">
        <v>6265472</v>
      </c>
      <c r="I100" s="285" t="s">
        <v>874</v>
      </c>
      <c r="J100" s="284"/>
      <c r="K100" s="287">
        <v>3371785</v>
      </c>
      <c r="L100" s="292">
        <v>2023071</v>
      </c>
      <c r="M100" s="292">
        <v>1348714</v>
      </c>
      <c r="N100" s="292">
        <f t="shared" si="3"/>
        <v>3371785</v>
      </c>
      <c r="O100" s="288" t="s">
        <v>814</v>
      </c>
      <c r="P100" s="289">
        <f t="shared" si="4"/>
        <v>0</v>
      </c>
      <c r="Q100" s="283"/>
      <c r="R100" s="290"/>
      <c r="S100" s="291"/>
    </row>
    <row r="101" spans="1:19" ht="15" customHeight="1" x14ac:dyDescent="0.25">
      <c r="A101" s="283">
        <v>4344</v>
      </c>
      <c r="B101" s="284">
        <v>5222</v>
      </c>
      <c r="C101" s="284" t="s">
        <v>923</v>
      </c>
      <c r="D101" s="284" t="s">
        <v>924</v>
      </c>
      <c r="E101" s="285" t="s">
        <v>366</v>
      </c>
      <c r="F101" s="284">
        <v>22871080</v>
      </c>
      <c r="G101" s="286" t="s">
        <v>288</v>
      </c>
      <c r="H101" s="284">
        <v>8899363</v>
      </c>
      <c r="I101" s="285" t="s">
        <v>869</v>
      </c>
      <c r="J101" s="284"/>
      <c r="K101" s="287">
        <v>2780450</v>
      </c>
      <c r="L101" s="292">
        <v>1668270</v>
      </c>
      <c r="M101" s="292">
        <v>1112180</v>
      </c>
      <c r="N101" s="292">
        <f t="shared" si="3"/>
        <v>2780450</v>
      </c>
      <c r="O101" s="288" t="s">
        <v>814</v>
      </c>
      <c r="P101" s="289">
        <f t="shared" si="4"/>
        <v>0</v>
      </c>
      <c r="Q101" s="283"/>
      <c r="R101" s="290"/>
      <c r="S101" s="291"/>
    </row>
    <row r="102" spans="1:19" ht="15" customHeight="1" x14ac:dyDescent="0.25">
      <c r="A102" s="283">
        <v>4377</v>
      </c>
      <c r="B102" s="284">
        <v>5222</v>
      </c>
      <c r="C102" s="284" t="s">
        <v>925</v>
      </c>
      <c r="D102" s="284" t="s">
        <v>926</v>
      </c>
      <c r="E102" s="285" t="s">
        <v>215</v>
      </c>
      <c r="F102" s="284">
        <v>49295101</v>
      </c>
      <c r="G102" s="286" t="s">
        <v>288</v>
      </c>
      <c r="H102" s="284">
        <v>4661168</v>
      </c>
      <c r="I102" s="285" t="s">
        <v>874</v>
      </c>
      <c r="J102" s="284"/>
      <c r="K102" s="287">
        <v>2697428</v>
      </c>
      <c r="L102" s="292">
        <v>1618457</v>
      </c>
      <c r="M102" s="292">
        <v>1078971</v>
      </c>
      <c r="N102" s="292">
        <f t="shared" si="3"/>
        <v>2697428</v>
      </c>
      <c r="O102" s="288" t="s">
        <v>814</v>
      </c>
      <c r="P102" s="289">
        <f t="shared" si="4"/>
        <v>0</v>
      </c>
      <c r="Q102" s="283"/>
      <c r="R102" s="290"/>
      <c r="S102" s="291"/>
    </row>
    <row r="103" spans="1:19" ht="15" customHeight="1" x14ac:dyDescent="0.25">
      <c r="A103" s="283">
        <v>4351</v>
      </c>
      <c r="B103" s="284">
        <v>5222</v>
      </c>
      <c r="C103" s="284" t="s">
        <v>925</v>
      </c>
      <c r="D103" s="284" t="s">
        <v>926</v>
      </c>
      <c r="E103" s="285" t="s">
        <v>215</v>
      </c>
      <c r="F103" s="284">
        <v>49295101</v>
      </c>
      <c r="G103" s="286" t="s">
        <v>288</v>
      </c>
      <c r="H103" s="284">
        <v>7471836</v>
      </c>
      <c r="I103" s="285" t="s">
        <v>922</v>
      </c>
      <c r="J103" s="284"/>
      <c r="K103" s="287">
        <v>2596820</v>
      </c>
      <c r="L103" s="292">
        <v>1558092</v>
      </c>
      <c r="M103" s="292">
        <v>1038728</v>
      </c>
      <c r="N103" s="292">
        <f t="shared" si="3"/>
        <v>2596820</v>
      </c>
      <c r="O103" s="288" t="s">
        <v>814</v>
      </c>
      <c r="P103" s="289">
        <f t="shared" si="4"/>
        <v>0</v>
      </c>
      <c r="Q103" s="283"/>
      <c r="R103" s="290"/>
      <c r="S103" s="291"/>
    </row>
    <row r="104" spans="1:19" ht="15" customHeight="1" x14ac:dyDescent="0.25">
      <c r="A104" s="283">
        <v>4356</v>
      </c>
      <c r="B104" s="284">
        <v>5222</v>
      </c>
      <c r="C104" s="284" t="s">
        <v>925</v>
      </c>
      <c r="D104" s="284" t="s">
        <v>926</v>
      </c>
      <c r="E104" s="285" t="s">
        <v>215</v>
      </c>
      <c r="F104" s="284">
        <v>49295101</v>
      </c>
      <c r="G104" s="286" t="s">
        <v>288</v>
      </c>
      <c r="H104" s="284">
        <v>9314906</v>
      </c>
      <c r="I104" s="285" t="s">
        <v>828</v>
      </c>
      <c r="J104" s="284"/>
      <c r="K104" s="287">
        <v>1098000</v>
      </c>
      <c r="L104" s="287"/>
      <c r="M104" s="287"/>
      <c r="N104" s="287"/>
      <c r="O104" s="288" t="s">
        <v>814</v>
      </c>
      <c r="P104" s="289">
        <f t="shared" si="2"/>
        <v>1098000</v>
      </c>
      <c r="Q104" s="283"/>
      <c r="R104" s="290"/>
      <c r="S104" s="291"/>
    </row>
    <row r="105" spans="1:19" ht="15" customHeight="1" x14ac:dyDescent="0.25">
      <c r="A105" s="283">
        <v>4344</v>
      </c>
      <c r="B105" s="284">
        <v>5222</v>
      </c>
      <c r="C105" s="284" t="s">
        <v>925</v>
      </c>
      <c r="D105" s="284" t="s">
        <v>926</v>
      </c>
      <c r="E105" s="285" t="s">
        <v>215</v>
      </c>
      <c r="F105" s="284">
        <v>49295101</v>
      </c>
      <c r="G105" s="286" t="s">
        <v>288</v>
      </c>
      <c r="H105" s="284">
        <v>9909982</v>
      </c>
      <c r="I105" s="285" t="s">
        <v>869</v>
      </c>
      <c r="J105" s="284"/>
      <c r="K105" s="287">
        <v>3475563</v>
      </c>
      <c r="L105" s="292">
        <v>2085338</v>
      </c>
      <c r="M105" s="292">
        <v>1390225</v>
      </c>
      <c r="N105" s="292">
        <f>L105+M105</f>
        <v>3475563</v>
      </c>
      <c r="O105" s="288" t="s">
        <v>814</v>
      </c>
      <c r="P105" s="289">
        <f>K105-L105-M105+O105</f>
        <v>0</v>
      </c>
      <c r="Q105" s="283"/>
      <c r="R105" s="290"/>
      <c r="S105" s="291"/>
    </row>
    <row r="106" spans="1:19" ht="15" customHeight="1" x14ac:dyDescent="0.25">
      <c r="A106" s="283">
        <v>4351</v>
      </c>
      <c r="B106" s="284">
        <v>5221</v>
      </c>
      <c r="C106" s="284" t="s">
        <v>927</v>
      </c>
      <c r="D106" s="284" t="s">
        <v>928</v>
      </c>
      <c r="E106" s="285" t="s">
        <v>929</v>
      </c>
      <c r="F106" s="284">
        <v>9903046</v>
      </c>
      <c r="G106" s="286" t="s">
        <v>267</v>
      </c>
      <c r="H106" s="284">
        <v>4263940</v>
      </c>
      <c r="I106" s="285" t="s">
        <v>844</v>
      </c>
      <c r="J106" s="284"/>
      <c r="K106" s="287">
        <v>589274</v>
      </c>
      <c r="L106" s="287"/>
      <c r="M106" s="287"/>
      <c r="N106" s="287"/>
      <c r="O106" s="288">
        <v>406968</v>
      </c>
      <c r="P106" s="289">
        <f t="shared" si="2"/>
        <v>996242</v>
      </c>
      <c r="Q106" s="283"/>
      <c r="R106" s="290"/>
      <c r="S106" s="291"/>
    </row>
    <row r="107" spans="1:19" ht="15" customHeight="1" x14ac:dyDescent="0.25">
      <c r="A107" s="283">
        <v>4359</v>
      </c>
      <c r="B107" s="284">
        <v>5221</v>
      </c>
      <c r="C107" s="284" t="s">
        <v>930</v>
      </c>
      <c r="D107" s="284" t="s">
        <v>931</v>
      </c>
      <c r="E107" s="285" t="s">
        <v>92</v>
      </c>
      <c r="F107" s="284">
        <v>28700210</v>
      </c>
      <c r="G107" s="286" t="s">
        <v>318</v>
      </c>
      <c r="H107" s="284">
        <v>3069495</v>
      </c>
      <c r="I107" s="285" t="s">
        <v>818</v>
      </c>
      <c r="J107" s="284"/>
      <c r="K107" s="287">
        <v>2520000</v>
      </c>
      <c r="L107" s="287"/>
      <c r="M107" s="287"/>
      <c r="N107" s="287"/>
      <c r="O107" s="288">
        <v>960255</v>
      </c>
      <c r="P107" s="289">
        <f t="shared" si="2"/>
        <v>3480255</v>
      </c>
      <c r="Q107" s="283"/>
      <c r="R107" s="290"/>
      <c r="S107" s="291"/>
    </row>
    <row r="108" spans="1:19" ht="15" customHeight="1" x14ac:dyDescent="0.25">
      <c r="A108" s="283">
        <v>4359</v>
      </c>
      <c r="B108" s="284">
        <v>5221</v>
      </c>
      <c r="C108" s="284" t="s">
        <v>930</v>
      </c>
      <c r="D108" s="284" t="s">
        <v>931</v>
      </c>
      <c r="E108" s="285" t="s">
        <v>92</v>
      </c>
      <c r="F108" s="284">
        <v>28700210</v>
      </c>
      <c r="G108" s="286" t="s">
        <v>318</v>
      </c>
      <c r="H108" s="284">
        <v>4343228</v>
      </c>
      <c r="I108" s="285" t="s">
        <v>818</v>
      </c>
      <c r="J108" s="284"/>
      <c r="K108" s="287">
        <v>4027200</v>
      </c>
      <c r="L108" s="287"/>
      <c r="M108" s="287"/>
      <c r="N108" s="287"/>
      <c r="O108" s="288">
        <v>893203</v>
      </c>
      <c r="P108" s="289">
        <f t="shared" si="2"/>
        <v>4920403</v>
      </c>
      <c r="Q108" s="283"/>
      <c r="R108" s="290"/>
      <c r="S108" s="291"/>
    </row>
    <row r="109" spans="1:19" ht="15" customHeight="1" x14ac:dyDescent="0.25">
      <c r="A109" s="283">
        <v>4312</v>
      </c>
      <c r="B109" s="284">
        <v>5221</v>
      </c>
      <c r="C109" s="284" t="s">
        <v>930</v>
      </c>
      <c r="D109" s="284" t="s">
        <v>931</v>
      </c>
      <c r="E109" s="285" t="s">
        <v>92</v>
      </c>
      <c r="F109" s="284">
        <v>28700210</v>
      </c>
      <c r="G109" s="286" t="s">
        <v>318</v>
      </c>
      <c r="H109" s="284">
        <v>9543067</v>
      </c>
      <c r="I109" s="285" t="s">
        <v>813</v>
      </c>
      <c r="J109" s="284"/>
      <c r="K109" s="287">
        <v>1617000</v>
      </c>
      <c r="L109" s="287"/>
      <c r="M109" s="287"/>
      <c r="N109" s="287"/>
      <c r="O109" s="288">
        <v>248579</v>
      </c>
      <c r="P109" s="289">
        <f t="shared" si="2"/>
        <v>1865579</v>
      </c>
      <c r="Q109" s="283"/>
      <c r="R109" s="290"/>
      <c r="S109" s="291"/>
    </row>
    <row r="110" spans="1:19" ht="15" customHeight="1" x14ac:dyDescent="0.25">
      <c r="A110" s="283">
        <v>4374</v>
      </c>
      <c r="B110" s="284">
        <v>5223</v>
      </c>
      <c r="C110" s="284" t="s">
        <v>932</v>
      </c>
      <c r="D110" s="284" t="s">
        <v>933</v>
      </c>
      <c r="E110" s="285" t="s">
        <v>169</v>
      </c>
      <c r="F110" s="284">
        <v>70226148</v>
      </c>
      <c r="G110" s="286" t="s">
        <v>340</v>
      </c>
      <c r="H110" s="284">
        <v>1297986</v>
      </c>
      <c r="I110" s="285" t="s">
        <v>934</v>
      </c>
      <c r="J110" s="284"/>
      <c r="K110" s="287">
        <v>5071302</v>
      </c>
      <c r="L110" s="287"/>
      <c r="M110" s="287"/>
      <c r="N110" s="287"/>
      <c r="O110" s="288">
        <v>1050054</v>
      </c>
      <c r="P110" s="289">
        <f t="shared" si="2"/>
        <v>6121356</v>
      </c>
      <c r="Q110" s="283"/>
      <c r="R110" s="290"/>
      <c r="S110" s="291"/>
    </row>
    <row r="111" spans="1:19" ht="22.5" customHeight="1" x14ac:dyDescent="0.25">
      <c r="A111" s="283">
        <v>4371</v>
      </c>
      <c r="B111" s="284">
        <v>5223</v>
      </c>
      <c r="C111" s="284" t="s">
        <v>932</v>
      </c>
      <c r="D111" s="284" t="s">
        <v>933</v>
      </c>
      <c r="E111" s="285" t="s">
        <v>169</v>
      </c>
      <c r="F111" s="284">
        <v>70226148</v>
      </c>
      <c r="G111" s="286" t="s">
        <v>340</v>
      </c>
      <c r="H111" s="284">
        <v>2925974</v>
      </c>
      <c r="I111" s="285" t="s">
        <v>840</v>
      </c>
      <c r="J111" s="284"/>
      <c r="K111" s="287">
        <v>3492480</v>
      </c>
      <c r="L111" s="287"/>
      <c r="M111" s="287"/>
      <c r="N111" s="287"/>
      <c r="O111" s="288">
        <v>773551</v>
      </c>
      <c r="P111" s="289">
        <f t="shared" si="2"/>
        <v>4266031</v>
      </c>
      <c r="Q111" s="283"/>
      <c r="R111" s="290"/>
      <c r="S111" s="291"/>
    </row>
    <row r="112" spans="1:19" ht="22.5" customHeight="1" x14ac:dyDescent="0.25">
      <c r="A112" s="283">
        <v>4375</v>
      </c>
      <c r="B112" s="284">
        <v>5223</v>
      </c>
      <c r="C112" s="284" t="s">
        <v>932</v>
      </c>
      <c r="D112" s="284" t="s">
        <v>933</v>
      </c>
      <c r="E112" s="285" t="s">
        <v>169</v>
      </c>
      <c r="F112" s="284">
        <v>70226148</v>
      </c>
      <c r="G112" s="286" t="s">
        <v>340</v>
      </c>
      <c r="H112" s="284">
        <v>6790491</v>
      </c>
      <c r="I112" s="285" t="s">
        <v>857</v>
      </c>
      <c r="J112" s="284"/>
      <c r="K112" s="287">
        <v>1674442</v>
      </c>
      <c r="L112" s="287"/>
      <c r="M112" s="287"/>
      <c r="N112" s="287"/>
      <c r="O112" s="288">
        <v>524904</v>
      </c>
      <c r="P112" s="289">
        <f t="shared" si="2"/>
        <v>2199346</v>
      </c>
      <c r="Q112" s="283"/>
      <c r="R112" s="290"/>
      <c r="S112" s="291"/>
    </row>
    <row r="113" spans="1:19" ht="15" customHeight="1" x14ac:dyDescent="0.25">
      <c r="A113" s="283">
        <v>4374</v>
      </c>
      <c r="B113" s="284">
        <v>5223</v>
      </c>
      <c r="C113" s="284" t="s">
        <v>935</v>
      </c>
      <c r="D113" s="284" t="s">
        <v>936</v>
      </c>
      <c r="E113" s="285" t="s">
        <v>50</v>
      </c>
      <c r="F113" s="284">
        <v>26520699</v>
      </c>
      <c r="G113" s="286" t="s">
        <v>340</v>
      </c>
      <c r="H113" s="284">
        <v>3146268</v>
      </c>
      <c r="I113" s="285" t="s">
        <v>934</v>
      </c>
      <c r="J113" s="284"/>
      <c r="K113" s="287">
        <v>2115480</v>
      </c>
      <c r="L113" s="287"/>
      <c r="M113" s="287"/>
      <c r="N113" s="287"/>
      <c r="O113" s="288">
        <v>396920</v>
      </c>
      <c r="P113" s="289">
        <f t="shared" si="2"/>
        <v>2512400</v>
      </c>
      <c r="Q113" s="283"/>
      <c r="R113" s="290"/>
      <c r="S113" s="291"/>
    </row>
    <row r="114" spans="1:19" ht="15" customHeight="1" x14ac:dyDescent="0.25">
      <c r="A114" s="283">
        <v>4350</v>
      </c>
      <c r="B114" s="284">
        <v>5223</v>
      </c>
      <c r="C114" s="284" t="s">
        <v>935</v>
      </c>
      <c r="D114" s="284" t="s">
        <v>936</v>
      </c>
      <c r="E114" s="285" t="s">
        <v>50</v>
      </c>
      <c r="F114" s="284">
        <v>26520699</v>
      </c>
      <c r="G114" s="286" t="s">
        <v>340</v>
      </c>
      <c r="H114" s="284">
        <v>6940940</v>
      </c>
      <c r="I114" s="285" t="s">
        <v>817</v>
      </c>
      <c r="J114" s="284"/>
      <c r="K114" s="287">
        <v>3826920</v>
      </c>
      <c r="L114" s="287"/>
      <c r="M114" s="287"/>
      <c r="N114" s="287"/>
      <c r="O114" s="288">
        <v>361080</v>
      </c>
      <c r="P114" s="289">
        <f t="shared" si="2"/>
        <v>4188000</v>
      </c>
      <c r="Q114" s="283"/>
      <c r="R114" s="290"/>
      <c r="S114" s="291"/>
    </row>
    <row r="115" spans="1:19" ht="15" customHeight="1" x14ac:dyDescent="0.25">
      <c r="A115" s="283">
        <v>4374</v>
      </c>
      <c r="B115" s="284">
        <v>5223</v>
      </c>
      <c r="C115" s="284" t="s">
        <v>935</v>
      </c>
      <c r="D115" s="284" t="s">
        <v>936</v>
      </c>
      <c r="E115" s="285" t="s">
        <v>50</v>
      </c>
      <c r="F115" s="284">
        <v>26520699</v>
      </c>
      <c r="G115" s="286" t="s">
        <v>340</v>
      </c>
      <c r="H115" s="284">
        <v>9958898</v>
      </c>
      <c r="I115" s="285" t="s">
        <v>934</v>
      </c>
      <c r="J115" s="284"/>
      <c r="K115" s="287">
        <v>2084896</v>
      </c>
      <c r="L115" s="287"/>
      <c r="M115" s="287"/>
      <c r="N115" s="287"/>
      <c r="O115" s="288">
        <v>415504</v>
      </c>
      <c r="P115" s="289">
        <f t="shared" si="2"/>
        <v>2500400</v>
      </c>
      <c r="Q115" s="283"/>
      <c r="R115" s="290"/>
      <c r="S115" s="291"/>
    </row>
    <row r="116" spans="1:19" ht="22.5" customHeight="1" x14ac:dyDescent="0.25">
      <c r="A116" s="283">
        <v>4375</v>
      </c>
      <c r="B116" s="284">
        <v>5223</v>
      </c>
      <c r="C116" s="284" t="s">
        <v>937</v>
      </c>
      <c r="D116" s="284" t="s">
        <v>938</v>
      </c>
      <c r="E116" s="285" t="s">
        <v>490</v>
      </c>
      <c r="F116" s="284">
        <v>70828920</v>
      </c>
      <c r="G116" s="286" t="s">
        <v>340</v>
      </c>
      <c r="H116" s="284">
        <v>1807508</v>
      </c>
      <c r="I116" s="285" t="s">
        <v>857</v>
      </c>
      <c r="J116" s="284"/>
      <c r="K116" s="287">
        <v>1260000</v>
      </c>
      <c r="L116" s="287"/>
      <c r="M116" s="287"/>
      <c r="N116" s="287"/>
      <c r="O116" s="288">
        <v>1134088</v>
      </c>
      <c r="P116" s="289">
        <f t="shared" si="2"/>
        <v>2394088</v>
      </c>
      <c r="Q116" s="283"/>
      <c r="R116" s="290"/>
      <c r="S116" s="291"/>
    </row>
    <row r="117" spans="1:19" ht="22.5" customHeight="1" x14ac:dyDescent="0.25">
      <c r="A117" s="283">
        <v>4312</v>
      </c>
      <c r="B117" s="284">
        <v>5223</v>
      </c>
      <c r="C117" s="284" t="s">
        <v>937</v>
      </c>
      <c r="D117" s="284" t="s">
        <v>938</v>
      </c>
      <c r="E117" s="285" t="s">
        <v>490</v>
      </c>
      <c r="F117" s="284">
        <v>70828920</v>
      </c>
      <c r="G117" s="286" t="s">
        <v>340</v>
      </c>
      <c r="H117" s="284">
        <v>5070480</v>
      </c>
      <c r="I117" s="285" t="s">
        <v>813</v>
      </c>
      <c r="J117" s="284"/>
      <c r="K117" s="287">
        <v>176400</v>
      </c>
      <c r="L117" s="287"/>
      <c r="M117" s="287"/>
      <c r="N117" s="287"/>
      <c r="O117" s="288" t="s">
        <v>814</v>
      </c>
      <c r="P117" s="289">
        <f t="shared" si="2"/>
        <v>176400</v>
      </c>
      <c r="Q117" s="283"/>
      <c r="R117" s="290"/>
      <c r="S117" s="291"/>
    </row>
    <row r="118" spans="1:19" ht="22.5" customHeight="1" x14ac:dyDescent="0.25">
      <c r="A118" s="283">
        <v>4375</v>
      </c>
      <c r="B118" s="284">
        <v>5223</v>
      </c>
      <c r="C118" s="284" t="s">
        <v>937</v>
      </c>
      <c r="D118" s="284" t="s">
        <v>938</v>
      </c>
      <c r="E118" s="285" t="s">
        <v>490</v>
      </c>
      <c r="F118" s="284">
        <v>70828920</v>
      </c>
      <c r="G118" s="286" t="s">
        <v>340</v>
      </c>
      <c r="H118" s="284">
        <v>8501960</v>
      </c>
      <c r="I118" s="285" t="s">
        <v>857</v>
      </c>
      <c r="J118" s="284"/>
      <c r="K118" s="287">
        <v>756000</v>
      </c>
      <c r="L118" s="287"/>
      <c r="M118" s="287"/>
      <c r="N118" s="287"/>
      <c r="O118" s="288">
        <v>895612</v>
      </c>
      <c r="P118" s="289">
        <f t="shared" si="2"/>
        <v>1651612</v>
      </c>
      <c r="Q118" s="283"/>
      <c r="R118" s="290"/>
      <c r="S118" s="291"/>
    </row>
    <row r="119" spans="1:19" ht="22.5" customHeight="1" x14ac:dyDescent="0.25">
      <c r="A119" s="283">
        <v>4375</v>
      </c>
      <c r="B119" s="284">
        <v>5223</v>
      </c>
      <c r="C119" s="284" t="s">
        <v>937</v>
      </c>
      <c r="D119" s="284" t="s">
        <v>938</v>
      </c>
      <c r="E119" s="285" t="s">
        <v>490</v>
      </c>
      <c r="F119" s="284">
        <v>70828920</v>
      </c>
      <c r="G119" s="286" t="s">
        <v>340</v>
      </c>
      <c r="H119" s="284">
        <v>8696715</v>
      </c>
      <c r="I119" s="285" t="s">
        <v>857</v>
      </c>
      <c r="J119" s="284"/>
      <c r="K119" s="287">
        <v>2604000</v>
      </c>
      <c r="L119" s="287"/>
      <c r="M119" s="287"/>
      <c r="N119" s="287"/>
      <c r="O119" s="288">
        <v>1904416</v>
      </c>
      <c r="P119" s="289">
        <f t="shared" si="2"/>
        <v>4508416</v>
      </c>
      <c r="Q119" s="283"/>
      <c r="R119" s="290"/>
      <c r="S119" s="291"/>
    </row>
    <row r="120" spans="1:19" ht="22.5" customHeight="1" x14ac:dyDescent="0.25">
      <c r="A120" s="283">
        <v>4371</v>
      </c>
      <c r="B120" s="284">
        <v>5223</v>
      </c>
      <c r="C120" s="284" t="s">
        <v>939</v>
      </c>
      <c r="D120" s="284"/>
      <c r="E120" s="285" t="s">
        <v>940</v>
      </c>
      <c r="F120" s="284">
        <v>17710430</v>
      </c>
      <c r="G120" s="286" t="s">
        <v>340</v>
      </c>
      <c r="H120" s="284">
        <v>4282428</v>
      </c>
      <c r="I120" s="285" t="s">
        <v>840</v>
      </c>
      <c r="J120" s="284"/>
      <c r="K120" s="287">
        <v>0</v>
      </c>
      <c r="L120" s="287"/>
      <c r="M120" s="287"/>
      <c r="N120" s="287"/>
      <c r="O120" s="288">
        <v>547525</v>
      </c>
      <c r="P120" s="289">
        <f t="shared" si="2"/>
        <v>547525</v>
      </c>
      <c r="Q120" s="283"/>
      <c r="R120" s="290"/>
      <c r="S120" s="291"/>
    </row>
    <row r="121" spans="1:19" ht="22.5" customHeight="1" x14ac:dyDescent="0.25">
      <c r="A121" s="283">
        <v>4359</v>
      </c>
      <c r="B121" s="284">
        <v>5336</v>
      </c>
      <c r="C121" s="284" t="s">
        <v>941</v>
      </c>
      <c r="D121" s="284" t="s">
        <v>942</v>
      </c>
      <c r="E121" s="285" t="s">
        <v>367</v>
      </c>
      <c r="F121" s="284">
        <v>70932522</v>
      </c>
      <c r="G121" s="286" t="s">
        <v>324</v>
      </c>
      <c r="H121" s="284">
        <v>1660265</v>
      </c>
      <c r="I121" s="285" t="s">
        <v>818</v>
      </c>
      <c r="J121" s="284"/>
      <c r="K121" s="287">
        <v>1921956</v>
      </c>
      <c r="L121" s="287"/>
      <c r="M121" s="287"/>
      <c r="N121" s="287"/>
      <c r="O121" s="288" t="s">
        <v>814</v>
      </c>
      <c r="P121" s="289">
        <f t="shared" si="2"/>
        <v>1921956</v>
      </c>
      <c r="Q121" s="283"/>
      <c r="R121" s="290"/>
      <c r="S121" s="291"/>
    </row>
    <row r="122" spans="1:19" ht="22.5" customHeight="1" x14ac:dyDescent="0.25">
      <c r="A122" s="283">
        <v>4351</v>
      </c>
      <c r="B122" s="284">
        <v>5336</v>
      </c>
      <c r="C122" s="284" t="s">
        <v>941</v>
      </c>
      <c r="D122" s="284" t="s">
        <v>942</v>
      </c>
      <c r="E122" s="285" t="s">
        <v>367</v>
      </c>
      <c r="F122" s="284">
        <v>70932522</v>
      </c>
      <c r="G122" s="286" t="s">
        <v>324</v>
      </c>
      <c r="H122" s="284">
        <v>6492623</v>
      </c>
      <c r="I122" s="285" t="s">
        <v>844</v>
      </c>
      <c r="J122" s="284"/>
      <c r="K122" s="287">
        <v>2305248</v>
      </c>
      <c r="L122" s="287"/>
      <c r="M122" s="287"/>
      <c r="N122" s="287"/>
      <c r="O122" s="288" t="s">
        <v>814</v>
      </c>
      <c r="P122" s="289">
        <f t="shared" si="2"/>
        <v>2305248</v>
      </c>
      <c r="Q122" s="283"/>
      <c r="R122" s="290"/>
      <c r="S122" s="291"/>
    </row>
    <row r="123" spans="1:19" ht="22.5" customHeight="1" x14ac:dyDescent="0.25">
      <c r="A123" s="283">
        <v>4357</v>
      </c>
      <c r="B123" s="284">
        <v>5336</v>
      </c>
      <c r="C123" s="284" t="s">
        <v>941</v>
      </c>
      <c r="D123" s="284" t="s">
        <v>942</v>
      </c>
      <c r="E123" s="285" t="s">
        <v>367</v>
      </c>
      <c r="F123" s="284">
        <v>70932522</v>
      </c>
      <c r="G123" s="286" t="s">
        <v>324</v>
      </c>
      <c r="H123" s="284">
        <v>8900016</v>
      </c>
      <c r="I123" s="285" t="s">
        <v>829</v>
      </c>
      <c r="J123" s="284"/>
      <c r="K123" s="287">
        <v>36737450</v>
      </c>
      <c r="L123" s="287"/>
      <c r="M123" s="287"/>
      <c r="N123" s="287"/>
      <c r="O123" s="288" t="s">
        <v>814</v>
      </c>
      <c r="P123" s="289">
        <f t="shared" si="2"/>
        <v>36737450</v>
      </c>
      <c r="Q123" s="283"/>
      <c r="R123" s="290"/>
      <c r="S123" s="291"/>
    </row>
    <row r="124" spans="1:19" ht="22.5" customHeight="1" x14ac:dyDescent="0.25">
      <c r="A124" s="283">
        <v>4356</v>
      </c>
      <c r="B124" s="284">
        <v>5336</v>
      </c>
      <c r="C124" s="284" t="s">
        <v>941</v>
      </c>
      <c r="D124" s="284" t="s">
        <v>942</v>
      </c>
      <c r="E124" s="285" t="s">
        <v>367</v>
      </c>
      <c r="F124" s="284">
        <v>70932522</v>
      </c>
      <c r="G124" s="286" t="s">
        <v>324</v>
      </c>
      <c r="H124" s="284">
        <v>9076392</v>
      </c>
      <c r="I124" s="285" t="s">
        <v>828</v>
      </c>
      <c r="J124" s="284"/>
      <c r="K124" s="287">
        <v>9006922</v>
      </c>
      <c r="L124" s="287"/>
      <c r="M124" s="287"/>
      <c r="N124" s="287"/>
      <c r="O124" s="288" t="s">
        <v>814</v>
      </c>
      <c r="P124" s="289">
        <f t="shared" si="2"/>
        <v>9006922</v>
      </c>
      <c r="Q124" s="283"/>
      <c r="R124" s="290"/>
      <c r="S124" s="291"/>
    </row>
    <row r="125" spans="1:19" ht="15" customHeight="1" x14ac:dyDescent="0.25">
      <c r="A125" s="283">
        <v>4378</v>
      </c>
      <c r="B125" s="284">
        <v>5222</v>
      </c>
      <c r="C125" s="284" t="s">
        <v>943</v>
      </c>
      <c r="D125" s="284" t="s">
        <v>944</v>
      </c>
      <c r="E125" s="285" t="s">
        <v>47</v>
      </c>
      <c r="F125" s="284">
        <v>22889159</v>
      </c>
      <c r="G125" s="286" t="s">
        <v>288</v>
      </c>
      <c r="H125" s="284">
        <v>7555345</v>
      </c>
      <c r="I125" s="285" t="s">
        <v>858</v>
      </c>
      <c r="J125" s="284"/>
      <c r="K125" s="287">
        <v>697850</v>
      </c>
      <c r="L125" s="287"/>
      <c r="M125" s="287"/>
      <c r="N125" s="287"/>
      <c r="O125" s="288">
        <v>112317</v>
      </c>
      <c r="P125" s="289">
        <f t="shared" si="2"/>
        <v>810167</v>
      </c>
      <c r="Q125" s="283"/>
      <c r="R125" s="290"/>
      <c r="S125" s="291"/>
    </row>
    <row r="126" spans="1:19" ht="15" customHeight="1" x14ac:dyDescent="0.25">
      <c r="A126" s="283">
        <v>4312</v>
      </c>
      <c r="B126" s="284">
        <v>5221</v>
      </c>
      <c r="C126" s="284" t="s">
        <v>945</v>
      </c>
      <c r="D126" s="284" t="s">
        <v>946</v>
      </c>
      <c r="E126" s="285" t="s">
        <v>369</v>
      </c>
      <c r="F126" s="284">
        <v>62695487</v>
      </c>
      <c r="G126" s="286" t="s">
        <v>267</v>
      </c>
      <c r="H126" s="284">
        <v>2073130</v>
      </c>
      <c r="I126" s="285" t="s">
        <v>813</v>
      </c>
      <c r="J126" s="284"/>
      <c r="K126" s="287">
        <v>1145000</v>
      </c>
      <c r="L126" s="287"/>
      <c r="M126" s="287"/>
      <c r="N126" s="287"/>
      <c r="O126" s="288" t="s">
        <v>814</v>
      </c>
      <c r="P126" s="289">
        <f t="shared" si="2"/>
        <v>1145000</v>
      </c>
      <c r="Q126" s="283"/>
      <c r="R126" s="290"/>
      <c r="S126" s="291"/>
    </row>
    <row r="127" spans="1:19" ht="22.5" customHeight="1" x14ac:dyDescent="0.25">
      <c r="A127" s="283">
        <v>4375</v>
      </c>
      <c r="B127" s="284">
        <v>5221</v>
      </c>
      <c r="C127" s="284" t="s">
        <v>947</v>
      </c>
      <c r="D127" s="284" t="s">
        <v>948</v>
      </c>
      <c r="E127" s="285" t="s">
        <v>949</v>
      </c>
      <c r="F127" s="284">
        <v>8751641</v>
      </c>
      <c r="G127" s="286" t="s">
        <v>267</v>
      </c>
      <c r="H127" s="284">
        <v>8752756</v>
      </c>
      <c r="I127" s="285" t="s">
        <v>857</v>
      </c>
      <c r="J127" s="284"/>
      <c r="K127" s="287">
        <v>1260000</v>
      </c>
      <c r="L127" s="287"/>
      <c r="M127" s="287"/>
      <c r="N127" s="287"/>
      <c r="O127" s="288">
        <v>753810</v>
      </c>
      <c r="P127" s="289">
        <f t="shared" si="2"/>
        <v>2013810</v>
      </c>
      <c r="Q127" s="283"/>
      <c r="R127" s="290"/>
      <c r="S127" s="291"/>
    </row>
    <row r="128" spans="1:19" ht="22.5" customHeight="1" x14ac:dyDescent="0.25">
      <c r="A128" s="283">
        <v>4371</v>
      </c>
      <c r="B128" s="284">
        <v>5221</v>
      </c>
      <c r="C128" s="284" t="s">
        <v>950</v>
      </c>
      <c r="D128" s="284" t="s">
        <v>951</v>
      </c>
      <c r="E128" s="285" t="s">
        <v>108</v>
      </c>
      <c r="F128" s="284">
        <v>8848254</v>
      </c>
      <c r="G128" s="286" t="s">
        <v>267</v>
      </c>
      <c r="H128" s="284">
        <v>3661910</v>
      </c>
      <c r="I128" s="285" t="s">
        <v>840</v>
      </c>
      <c r="J128" s="284"/>
      <c r="K128" s="287">
        <v>997920</v>
      </c>
      <c r="L128" s="287">
        <f>N128-M128</f>
        <v>222173</v>
      </c>
      <c r="M128" s="287">
        <v>399168</v>
      </c>
      <c r="N128" s="287">
        <v>621341</v>
      </c>
      <c r="O128" s="288" t="s">
        <v>814</v>
      </c>
      <c r="P128" s="289">
        <f>K128-N128+O128</f>
        <v>376579</v>
      </c>
      <c r="Q128" s="283"/>
      <c r="R128" s="290"/>
      <c r="S128" s="291"/>
    </row>
    <row r="129" spans="1:19" ht="22.5" customHeight="1" x14ac:dyDescent="0.25">
      <c r="A129" s="283">
        <v>4375</v>
      </c>
      <c r="B129" s="284">
        <v>5221</v>
      </c>
      <c r="C129" s="284" t="s">
        <v>950</v>
      </c>
      <c r="D129" s="284" t="s">
        <v>951</v>
      </c>
      <c r="E129" s="285" t="s">
        <v>108</v>
      </c>
      <c r="F129" s="284">
        <v>8848254</v>
      </c>
      <c r="G129" s="286" t="s">
        <v>267</v>
      </c>
      <c r="H129" s="284">
        <v>7356784</v>
      </c>
      <c r="I129" s="285" t="s">
        <v>857</v>
      </c>
      <c r="J129" s="284"/>
      <c r="K129" s="287">
        <v>1260000</v>
      </c>
      <c r="L129" s="287"/>
      <c r="M129" s="287"/>
      <c r="N129" s="287"/>
      <c r="O129" s="288">
        <v>413842</v>
      </c>
      <c r="P129" s="289">
        <f t="shared" si="2"/>
        <v>1673842</v>
      </c>
      <c r="Q129" s="283"/>
      <c r="R129" s="290"/>
      <c r="S129" s="291"/>
    </row>
    <row r="130" spans="1:19" ht="22.5" customHeight="1" x14ac:dyDescent="0.25">
      <c r="A130" s="283">
        <v>4375</v>
      </c>
      <c r="B130" s="284">
        <v>5221</v>
      </c>
      <c r="C130" s="284" t="s">
        <v>952</v>
      </c>
      <c r="D130" s="284" t="s">
        <v>953</v>
      </c>
      <c r="E130" s="285" t="s">
        <v>954</v>
      </c>
      <c r="F130" s="284">
        <v>7934335</v>
      </c>
      <c r="G130" s="286" t="s">
        <v>267</v>
      </c>
      <c r="H130" s="284">
        <v>8935632</v>
      </c>
      <c r="I130" s="285" t="s">
        <v>857</v>
      </c>
      <c r="J130" s="284"/>
      <c r="K130" s="287">
        <v>1260000</v>
      </c>
      <c r="L130" s="287"/>
      <c r="M130" s="287"/>
      <c r="N130" s="287"/>
      <c r="O130" s="288">
        <v>634000</v>
      </c>
      <c r="P130" s="289">
        <f t="shared" si="2"/>
        <v>1894000</v>
      </c>
      <c r="Q130" s="283"/>
      <c r="R130" s="290"/>
      <c r="S130" s="291"/>
    </row>
    <row r="131" spans="1:19" ht="15" customHeight="1" x14ac:dyDescent="0.25">
      <c r="A131" s="283">
        <v>4351</v>
      </c>
      <c r="B131" s="284">
        <v>5222</v>
      </c>
      <c r="C131" s="284" t="s">
        <v>955</v>
      </c>
      <c r="D131" s="284" t="s">
        <v>956</v>
      </c>
      <c r="E131" s="285" t="s">
        <v>113</v>
      </c>
      <c r="F131" s="284">
        <v>1679198</v>
      </c>
      <c r="G131" s="286" t="s">
        <v>288</v>
      </c>
      <c r="H131" s="284">
        <v>7734736</v>
      </c>
      <c r="I131" s="285" t="s">
        <v>847</v>
      </c>
      <c r="J131" s="284"/>
      <c r="K131" s="287">
        <v>4033186</v>
      </c>
      <c r="L131" s="287"/>
      <c r="M131" s="287"/>
      <c r="N131" s="287"/>
      <c r="O131" s="288">
        <v>569800</v>
      </c>
      <c r="P131" s="289">
        <f t="shared" si="2"/>
        <v>4602986</v>
      </c>
      <c r="Q131" s="283"/>
      <c r="R131" s="290"/>
      <c r="S131" s="291"/>
    </row>
    <row r="132" spans="1:19" ht="22.5" customHeight="1" x14ac:dyDescent="0.25">
      <c r="A132" s="283">
        <v>4351</v>
      </c>
      <c r="B132" s="284">
        <v>5321</v>
      </c>
      <c r="C132" s="284" t="s">
        <v>957</v>
      </c>
      <c r="D132" s="284" t="s">
        <v>958</v>
      </c>
      <c r="E132" s="285" t="s">
        <v>376</v>
      </c>
      <c r="F132" s="284">
        <v>71173854</v>
      </c>
      <c r="G132" s="286" t="s">
        <v>324</v>
      </c>
      <c r="H132" s="284">
        <v>5285192</v>
      </c>
      <c r="I132" s="285" t="s">
        <v>844</v>
      </c>
      <c r="J132" s="284"/>
      <c r="K132" s="287">
        <v>625152</v>
      </c>
      <c r="L132" s="287"/>
      <c r="M132" s="287"/>
      <c r="N132" s="287"/>
      <c r="O132" s="288" t="s">
        <v>814</v>
      </c>
      <c r="P132" s="289">
        <f t="shared" si="2"/>
        <v>625152</v>
      </c>
      <c r="Q132" s="283"/>
      <c r="R132" s="290"/>
      <c r="S132" s="291"/>
    </row>
    <row r="133" spans="1:19" ht="22.5" customHeight="1" x14ac:dyDescent="0.25">
      <c r="A133" s="283">
        <v>4356</v>
      </c>
      <c r="B133" s="284">
        <v>5321</v>
      </c>
      <c r="C133" s="284" t="s">
        <v>957</v>
      </c>
      <c r="D133" s="284" t="s">
        <v>958</v>
      </c>
      <c r="E133" s="285" t="s">
        <v>376</v>
      </c>
      <c r="F133" s="284">
        <v>71173854</v>
      </c>
      <c r="G133" s="286" t="s">
        <v>324</v>
      </c>
      <c r="H133" s="284">
        <v>5861633</v>
      </c>
      <c r="I133" s="285" t="s">
        <v>822</v>
      </c>
      <c r="J133" s="284"/>
      <c r="K133" s="287">
        <v>1006200</v>
      </c>
      <c r="L133" s="287"/>
      <c r="M133" s="287"/>
      <c r="N133" s="287"/>
      <c r="O133" s="288" t="s">
        <v>814</v>
      </c>
      <c r="P133" s="289">
        <f t="shared" si="2"/>
        <v>1006200</v>
      </c>
      <c r="Q133" s="283"/>
      <c r="R133" s="290"/>
      <c r="S133" s="291"/>
    </row>
    <row r="134" spans="1:19" ht="15" customHeight="1" x14ac:dyDescent="0.25">
      <c r="A134" s="283">
        <v>4351</v>
      </c>
      <c r="B134" s="284">
        <v>5221</v>
      </c>
      <c r="C134" s="284" t="s">
        <v>959</v>
      </c>
      <c r="D134" s="284" t="s">
        <v>960</v>
      </c>
      <c r="E134" s="285" t="s">
        <v>154</v>
      </c>
      <c r="F134" s="284">
        <v>25405080</v>
      </c>
      <c r="G134" s="286" t="s">
        <v>318</v>
      </c>
      <c r="H134" s="284">
        <v>4873800</v>
      </c>
      <c r="I134" s="285" t="s">
        <v>844</v>
      </c>
      <c r="J134" s="284"/>
      <c r="K134" s="287">
        <v>3734400</v>
      </c>
      <c r="L134" s="287"/>
      <c r="M134" s="287"/>
      <c r="N134" s="287"/>
      <c r="O134" s="288">
        <v>1118642</v>
      </c>
      <c r="P134" s="289">
        <f t="shared" si="2"/>
        <v>4853042</v>
      </c>
      <c r="Q134" s="283"/>
      <c r="R134" s="290"/>
      <c r="S134" s="291"/>
    </row>
    <row r="135" spans="1:19" ht="15" customHeight="1" x14ac:dyDescent="0.25">
      <c r="A135" s="283">
        <v>4351</v>
      </c>
      <c r="B135" s="284">
        <v>5321</v>
      </c>
      <c r="C135" s="284" t="s">
        <v>961</v>
      </c>
      <c r="D135" s="284" t="s">
        <v>962</v>
      </c>
      <c r="E135" s="285" t="s">
        <v>963</v>
      </c>
      <c r="F135" s="284">
        <v>260410</v>
      </c>
      <c r="G135" s="286" t="s">
        <v>379</v>
      </c>
      <c r="H135" s="284">
        <v>2700736</v>
      </c>
      <c r="I135" s="285" t="s">
        <v>847</v>
      </c>
      <c r="J135" s="284"/>
      <c r="K135" s="287">
        <v>1923600</v>
      </c>
      <c r="L135" s="287"/>
      <c r="M135" s="287"/>
      <c r="N135" s="287"/>
      <c r="O135" s="288" t="s">
        <v>814</v>
      </c>
      <c r="P135" s="289">
        <f t="shared" si="2"/>
        <v>1923600</v>
      </c>
      <c r="Q135" s="283"/>
      <c r="R135" s="290"/>
      <c r="S135" s="291"/>
    </row>
    <row r="136" spans="1:19" ht="15" customHeight="1" x14ac:dyDescent="0.25">
      <c r="A136" s="283">
        <v>4351</v>
      </c>
      <c r="B136" s="284">
        <v>5321</v>
      </c>
      <c r="C136" s="284" t="s">
        <v>964</v>
      </c>
      <c r="D136" s="284" t="s">
        <v>965</v>
      </c>
      <c r="E136" s="285" t="s">
        <v>380</v>
      </c>
      <c r="F136" s="284">
        <v>262307</v>
      </c>
      <c r="G136" s="286" t="s">
        <v>379</v>
      </c>
      <c r="H136" s="284">
        <v>8598927</v>
      </c>
      <c r="I136" s="285" t="s">
        <v>847</v>
      </c>
      <c r="J136" s="284"/>
      <c r="K136" s="287">
        <v>550000</v>
      </c>
      <c r="L136" s="287"/>
      <c r="M136" s="287"/>
      <c r="N136" s="287"/>
      <c r="O136" s="288" t="s">
        <v>814</v>
      </c>
      <c r="P136" s="289">
        <f t="shared" ref="P136:P199" si="5">K136-L136+O136</f>
        <v>550000</v>
      </c>
      <c r="Q136" s="283"/>
      <c r="R136" s="290"/>
      <c r="S136" s="291"/>
    </row>
    <row r="137" spans="1:19" ht="15" customHeight="1" x14ac:dyDescent="0.25">
      <c r="A137" s="283">
        <v>4351</v>
      </c>
      <c r="B137" s="284">
        <v>5321</v>
      </c>
      <c r="C137" s="284" t="s">
        <v>966</v>
      </c>
      <c r="D137" s="284" t="s">
        <v>967</v>
      </c>
      <c r="E137" s="285" t="s">
        <v>382</v>
      </c>
      <c r="F137" s="284">
        <v>262781</v>
      </c>
      <c r="G137" s="286" t="s">
        <v>379</v>
      </c>
      <c r="H137" s="284">
        <v>2088349</v>
      </c>
      <c r="I137" s="285" t="s">
        <v>847</v>
      </c>
      <c r="J137" s="284"/>
      <c r="K137" s="287">
        <v>2251427</v>
      </c>
      <c r="L137" s="287"/>
      <c r="M137" s="287"/>
      <c r="N137" s="287"/>
      <c r="O137" s="288" t="s">
        <v>814</v>
      </c>
      <c r="P137" s="289">
        <f t="shared" si="5"/>
        <v>2251427</v>
      </c>
      <c r="Q137" s="283"/>
      <c r="R137" s="290"/>
      <c r="S137" s="291"/>
    </row>
    <row r="138" spans="1:19" ht="15" customHeight="1" x14ac:dyDescent="0.25">
      <c r="A138" s="283">
        <v>4351</v>
      </c>
      <c r="B138" s="284">
        <v>5321</v>
      </c>
      <c r="C138" s="284" t="s">
        <v>968</v>
      </c>
      <c r="D138" s="284" t="s">
        <v>969</v>
      </c>
      <c r="E138" s="285" t="s">
        <v>384</v>
      </c>
      <c r="F138" s="284">
        <v>262820</v>
      </c>
      <c r="G138" s="286" t="s">
        <v>379</v>
      </c>
      <c r="H138" s="284">
        <v>3886672</v>
      </c>
      <c r="I138" s="285" t="s">
        <v>847</v>
      </c>
      <c r="J138" s="284"/>
      <c r="K138" s="287">
        <v>4300920</v>
      </c>
      <c r="L138" s="287"/>
      <c r="M138" s="287"/>
      <c r="N138" s="287"/>
      <c r="O138" s="288" t="s">
        <v>814</v>
      </c>
      <c r="P138" s="289">
        <f t="shared" si="5"/>
        <v>4300920</v>
      </c>
      <c r="Q138" s="283"/>
      <c r="R138" s="290"/>
      <c r="S138" s="291"/>
    </row>
    <row r="139" spans="1:19" ht="15" customHeight="1" x14ac:dyDescent="0.25">
      <c r="A139" s="283">
        <v>4351</v>
      </c>
      <c r="B139" s="284">
        <v>5321</v>
      </c>
      <c r="C139" s="284" t="s">
        <v>970</v>
      </c>
      <c r="D139" s="284" t="s">
        <v>971</v>
      </c>
      <c r="E139" s="285" t="s">
        <v>386</v>
      </c>
      <c r="F139" s="284">
        <v>262871</v>
      </c>
      <c r="G139" s="286" t="s">
        <v>379</v>
      </c>
      <c r="H139" s="284">
        <v>7777619</v>
      </c>
      <c r="I139" s="285" t="s">
        <v>847</v>
      </c>
      <c r="J139" s="284"/>
      <c r="K139" s="287">
        <v>2100000</v>
      </c>
      <c r="L139" s="287"/>
      <c r="M139" s="287"/>
      <c r="N139" s="287"/>
      <c r="O139" s="288" t="s">
        <v>814</v>
      </c>
      <c r="P139" s="289">
        <f t="shared" si="5"/>
        <v>2100000</v>
      </c>
      <c r="Q139" s="283"/>
      <c r="R139" s="290"/>
      <c r="S139" s="291"/>
    </row>
    <row r="140" spans="1:19" ht="15" customHeight="1" x14ac:dyDescent="0.25">
      <c r="A140" s="283">
        <v>4351</v>
      </c>
      <c r="B140" s="284">
        <v>5321</v>
      </c>
      <c r="C140" s="284" t="s">
        <v>972</v>
      </c>
      <c r="D140" s="284" t="s">
        <v>973</v>
      </c>
      <c r="E140" s="285" t="s">
        <v>388</v>
      </c>
      <c r="F140" s="284">
        <v>260576</v>
      </c>
      <c r="G140" s="286" t="s">
        <v>379</v>
      </c>
      <c r="H140" s="284">
        <v>2838544</v>
      </c>
      <c r="I140" s="285" t="s">
        <v>847</v>
      </c>
      <c r="J140" s="284"/>
      <c r="K140" s="287">
        <v>1208760</v>
      </c>
      <c r="L140" s="287"/>
      <c r="M140" s="287"/>
      <c r="N140" s="287"/>
      <c r="O140" s="288" t="s">
        <v>814</v>
      </c>
      <c r="P140" s="289">
        <f t="shared" si="5"/>
        <v>1208760</v>
      </c>
      <c r="Q140" s="283"/>
      <c r="R140" s="290"/>
      <c r="S140" s="291"/>
    </row>
    <row r="141" spans="1:19" ht="15" customHeight="1" x14ac:dyDescent="0.25">
      <c r="A141" s="283">
        <v>4351</v>
      </c>
      <c r="B141" s="284">
        <v>5321</v>
      </c>
      <c r="C141" s="284" t="s">
        <v>974</v>
      </c>
      <c r="D141" s="284" t="s">
        <v>975</v>
      </c>
      <c r="E141" s="285" t="s">
        <v>390</v>
      </c>
      <c r="F141" s="284">
        <v>275808</v>
      </c>
      <c r="G141" s="286" t="s">
        <v>379</v>
      </c>
      <c r="H141" s="284">
        <v>2084701</v>
      </c>
      <c r="I141" s="285" t="s">
        <v>847</v>
      </c>
      <c r="J141" s="284"/>
      <c r="K141" s="287">
        <v>3984120</v>
      </c>
      <c r="L141" s="287"/>
      <c r="M141" s="287"/>
      <c r="N141" s="287"/>
      <c r="O141" s="288" t="s">
        <v>814</v>
      </c>
      <c r="P141" s="289">
        <f t="shared" si="5"/>
        <v>3984120</v>
      </c>
      <c r="Q141" s="283"/>
      <c r="R141" s="290"/>
      <c r="S141" s="291"/>
    </row>
    <row r="142" spans="1:19" ht="15" customHeight="1" x14ac:dyDescent="0.25">
      <c r="A142" s="283">
        <v>4351</v>
      </c>
      <c r="B142" s="284">
        <v>5321</v>
      </c>
      <c r="C142" s="284" t="s">
        <v>976</v>
      </c>
      <c r="D142" s="284" t="s">
        <v>977</v>
      </c>
      <c r="E142" s="285" t="s">
        <v>392</v>
      </c>
      <c r="F142" s="284">
        <v>260622</v>
      </c>
      <c r="G142" s="286" t="s">
        <v>379</v>
      </c>
      <c r="H142" s="284">
        <v>1129034</v>
      </c>
      <c r="I142" s="285" t="s">
        <v>847</v>
      </c>
      <c r="J142" s="284"/>
      <c r="K142" s="287">
        <v>2793078</v>
      </c>
      <c r="L142" s="287"/>
      <c r="M142" s="287"/>
      <c r="N142" s="287"/>
      <c r="O142" s="288" t="s">
        <v>814</v>
      </c>
      <c r="P142" s="289">
        <f t="shared" si="5"/>
        <v>2793078</v>
      </c>
      <c r="Q142" s="283"/>
      <c r="R142" s="290"/>
      <c r="S142" s="291"/>
    </row>
    <row r="143" spans="1:19" ht="15" customHeight="1" x14ac:dyDescent="0.25">
      <c r="A143" s="283">
        <v>4351</v>
      </c>
      <c r="B143" s="284">
        <v>5321</v>
      </c>
      <c r="C143" s="284" t="s">
        <v>978</v>
      </c>
      <c r="D143" s="284" t="s">
        <v>979</v>
      </c>
      <c r="E143" s="285" t="s">
        <v>394</v>
      </c>
      <c r="F143" s="284">
        <v>263036</v>
      </c>
      <c r="G143" s="286" t="s">
        <v>379</v>
      </c>
      <c r="H143" s="284">
        <v>8227630</v>
      </c>
      <c r="I143" s="285" t="s">
        <v>847</v>
      </c>
      <c r="J143" s="284"/>
      <c r="K143" s="287">
        <v>1488233</v>
      </c>
      <c r="L143" s="287"/>
      <c r="M143" s="287"/>
      <c r="N143" s="287"/>
      <c r="O143" s="288" t="s">
        <v>814</v>
      </c>
      <c r="P143" s="289">
        <f t="shared" si="5"/>
        <v>1488233</v>
      </c>
      <c r="Q143" s="283"/>
      <c r="R143" s="290"/>
      <c r="S143" s="291"/>
    </row>
    <row r="144" spans="1:19" ht="15" customHeight="1" x14ac:dyDescent="0.25">
      <c r="A144" s="283">
        <v>4351</v>
      </c>
      <c r="B144" s="284">
        <v>5321</v>
      </c>
      <c r="C144" s="284" t="s">
        <v>980</v>
      </c>
      <c r="D144" s="284" t="s">
        <v>981</v>
      </c>
      <c r="E144" s="285" t="s">
        <v>982</v>
      </c>
      <c r="F144" s="284">
        <v>263141</v>
      </c>
      <c r="G144" s="286" t="s">
        <v>379</v>
      </c>
      <c r="H144" s="284">
        <v>2587147</v>
      </c>
      <c r="I144" s="285" t="s">
        <v>847</v>
      </c>
      <c r="J144" s="284"/>
      <c r="K144" s="287">
        <v>420840</v>
      </c>
      <c r="L144" s="287"/>
      <c r="M144" s="287"/>
      <c r="N144" s="287"/>
      <c r="O144" s="288" t="s">
        <v>814</v>
      </c>
      <c r="P144" s="289">
        <f t="shared" si="5"/>
        <v>420840</v>
      </c>
      <c r="Q144" s="283"/>
      <c r="R144" s="290"/>
      <c r="S144" s="291"/>
    </row>
    <row r="145" spans="1:19" ht="15" customHeight="1" x14ac:dyDescent="0.25">
      <c r="A145" s="283">
        <v>4351</v>
      </c>
      <c r="B145" s="284">
        <v>5321</v>
      </c>
      <c r="C145" s="284" t="s">
        <v>983</v>
      </c>
      <c r="D145" s="284" t="s">
        <v>984</v>
      </c>
      <c r="E145" s="285" t="s">
        <v>398</v>
      </c>
      <c r="F145" s="284">
        <v>262552</v>
      </c>
      <c r="G145" s="286" t="s">
        <v>379</v>
      </c>
      <c r="H145" s="284">
        <v>2552651</v>
      </c>
      <c r="I145" s="285" t="s">
        <v>847</v>
      </c>
      <c r="J145" s="284"/>
      <c r="K145" s="287">
        <v>1017019</v>
      </c>
      <c r="L145" s="287"/>
      <c r="M145" s="287"/>
      <c r="N145" s="287"/>
      <c r="O145" s="288" t="s">
        <v>814</v>
      </c>
      <c r="P145" s="289">
        <f t="shared" si="5"/>
        <v>1017019</v>
      </c>
      <c r="Q145" s="283"/>
      <c r="R145" s="290"/>
      <c r="S145" s="291"/>
    </row>
    <row r="146" spans="1:19" ht="15" customHeight="1" x14ac:dyDescent="0.25">
      <c r="A146" s="283">
        <v>4351</v>
      </c>
      <c r="B146" s="284">
        <v>5321</v>
      </c>
      <c r="C146" s="284" t="s">
        <v>985</v>
      </c>
      <c r="D146" s="284" t="s">
        <v>986</v>
      </c>
      <c r="E146" s="285" t="s">
        <v>400</v>
      </c>
      <c r="F146" s="284">
        <v>260967</v>
      </c>
      <c r="G146" s="286" t="s">
        <v>379</v>
      </c>
      <c r="H146" s="284">
        <v>2574699</v>
      </c>
      <c r="I146" s="285" t="s">
        <v>847</v>
      </c>
      <c r="J146" s="284"/>
      <c r="K146" s="287">
        <v>1572278</v>
      </c>
      <c r="L146" s="287"/>
      <c r="M146" s="287"/>
      <c r="N146" s="287"/>
      <c r="O146" s="288" t="s">
        <v>814</v>
      </c>
      <c r="P146" s="289">
        <f t="shared" si="5"/>
        <v>1572278</v>
      </c>
      <c r="Q146" s="283"/>
      <c r="R146" s="290"/>
      <c r="S146" s="291"/>
    </row>
    <row r="147" spans="1:19" ht="15" customHeight="1" x14ac:dyDescent="0.25">
      <c r="A147" s="283">
        <v>4351</v>
      </c>
      <c r="B147" s="284">
        <v>5321</v>
      </c>
      <c r="C147" s="284" t="s">
        <v>987</v>
      </c>
      <c r="D147" s="284" t="s">
        <v>988</v>
      </c>
      <c r="E147" s="285" t="s">
        <v>402</v>
      </c>
      <c r="F147" s="284">
        <v>262595</v>
      </c>
      <c r="G147" s="286" t="s">
        <v>379</v>
      </c>
      <c r="H147" s="284">
        <v>7207666</v>
      </c>
      <c r="I147" s="285" t="s">
        <v>847</v>
      </c>
      <c r="J147" s="284"/>
      <c r="K147" s="287">
        <v>798000</v>
      </c>
      <c r="L147" s="287"/>
      <c r="M147" s="287"/>
      <c r="N147" s="287"/>
      <c r="O147" s="288" t="s">
        <v>814</v>
      </c>
      <c r="P147" s="289">
        <f t="shared" si="5"/>
        <v>798000</v>
      </c>
      <c r="Q147" s="283"/>
      <c r="R147" s="290"/>
      <c r="S147" s="291"/>
    </row>
    <row r="148" spans="1:19" ht="15" customHeight="1" x14ac:dyDescent="0.25">
      <c r="A148" s="283">
        <v>4351</v>
      </c>
      <c r="B148" s="284">
        <v>5321</v>
      </c>
      <c r="C148" s="284" t="s">
        <v>989</v>
      </c>
      <c r="D148" s="284" t="s">
        <v>990</v>
      </c>
      <c r="E148" s="285" t="s">
        <v>404</v>
      </c>
      <c r="F148" s="284">
        <v>262633</v>
      </c>
      <c r="G148" s="286" t="s">
        <v>379</v>
      </c>
      <c r="H148" s="284">
        <v>2928724</v>
      </c>
      <c r="I148" s="285" t="s">
        <v>847</v>
      </c>
      <c r="J148" s="284"/>
      <c r="K148" s="287">
        <v>2200000</v>
      </c>
      <c r="L148" s="287"/>
      <c r="M148" s="287"/>
      <c r="N148" s="287"/>
      <c r="O148" s="288" t="s">
        <v>814</v>
      </c>
      <c r="P148" s="289">
        <f t="shared" si="5"/>
        <v>2200000</v>
      </c>
      <c r="Q148" s="283"/>
      <c r="R148" s="290"/>
      <c r="S148" s="291"/>
    </row>
    <row r="149" spans="1:19" ht="15" customHeight="1" x14ac:dyDescent="0.25">
      <c r="A149" s="283">
        <v>4351</v>
      </c>
      <c r="B149" s="284">
        <v>5212</v>
      </c>
      <c r="C149" s="284" t="s">
        <v>991</v>
      </c>
      <c r="D149" s="284" t="s">
        <v>992</v>
      </c>
      <c r="E149" s="285" t="s">
        <v>993</v>
      </c>
      <c r="F149" s="284">
        <v>75100967</v>
      </c>
      <c r="G149" s="286" t="s">
        <v>371</v>
      </c>
      <c r="H149" s="284">
        <v>5957695</v>
      </c>
      <c r="I149" s="285" t="s">
        <v>847</v>
      </c>
      <c r="J149" s="284"/>
      <c r="K149" s="287">
        <v>1652651</v>
      </c>
      <c r="L149" s="287"/>
      <c r="M149" s="287"/>
      <c r="N149" s="287"/>
      <c r="O149" s="288" t="s">
        <v>814</v>
      </c>
      <c r="P149" s="289">
        <f t="shared" si="5"/>
        <v>1652651</v>
      </c>
      <c r="Q149" s="283"/>
      <c r="R149" s="290"/>
      <c r="S149" s="291"/>
    </row>
    <row r="150" spans="1:19" ht="15" customHeight="1" x14ac:dyDescent="0.25">
      <c r="A150" s="283">
        <v>4373</v>
      </c>
      <c r="B150" s="284">
        <v>5222</v>
      </c>
      <c r="C150" s="284" t="s">
        <v>994</v>
      </c>
      <c r="D150" s="284" t="s">
        <v>995</v>
      </c>
      <c r="E150" s="285" t="s">
        <v>996</v>
      </c>
      <c r="F150" s="284">
        <v>63125137</v>
      </c>
      <c r="G150" s="286" t="s">
        <v>288</v>
      </c>
      <c r="H150" s="284">
        <v>1220799</v>
      </c>
      <c r="I150" s="285" t="s">
        <v>997</v>
      </c>
      <c r="J150" s="284"/>
      <c r="K150" s="287">
        <v>2340603</v>
      </c>
      <c r="L150" s="287"/>
      <c r="M150" s="287"/>
      <c r="N150" s="287"/>
      <c r="O150" s="288">
        <v>2357786</v>
      </c>
      <c r="P150" s="289">
        <f t="shared" si="5"/>
        <v>4698389</v>
      </c>
      <c r="Q150" s="283"/>
      <c r="R150" s="290"/>
      <c r="S150" s="291"/>
    </row>
    <row r="151" spans="1:19" ht="15" customHeight="1" x14ac:dyDescent="0.25">
      <c r="A151" s="283">
        <v>4376</v>
      </c>
      <c r="B151" s="284">
        <v>5222</v>
      </c>
      <c r="C151" s="284" t="s">
        <v>994</v>
      </c>
      <c r="D151" s="284" t="s">
        <v>995</v>
      </c>
      <c r="E151" s="285" t="s">
        <v>996</v>
      </c>
      <c r="F151" s="284">
        <v>63125137</v>
      </c>
      <c r="G151" s="286" t="s">
        <v>288</v>
      </c>
      <c r="H151" s="284">
        <v>1229581</v>
      </c>
      <c r="I151" s="285" t="s">
        <v>998</v>
      </c>
      <c r="J151" s="284"/>
      <c r="K151" s="287">
        <v>4387582</v>
      </c>
      <c r="L151" s="287"/>
      <c r="M151" s="287"/>
      <c r="N151" s="287"/>
      <c r="O151" s="288" t="s">
        <v>814</v>
      </c>
      <c r="P151" s="289">
        <f t="shared" si="5"/>
        <v>4387582</v>
      </c>
      <c r="Q151" s="283"/>
      <c r="R151" s="290"/>
      <c r="S151" s="291"/>
    </row>
    <row r="152" spans="1:19" ht="15" customHeight="1" x14ac:dyDescent="0.25">
      <c r="A152" s="283">
        <v>4378</v>
      </c>
      <c r="B152" s="284">
        <v>5222</v>
      </c>
      <c r="C152" s="284" t="s">
        <v>994</v>
      </c>
      <c r="D152" s="284" t="s">
        <v>995</v>
      </c>
      <c r="E152" s="285" t="s">
        <v>996</v>
      </c>
      <c r="F152" s="284">
        <v>63125137</v>
      </c>
      <c r="G152" s="286" t="s">
        <v>288</v>
      </c>
      <c r="H152" s="284">
        <v>3775974</v>
      </c>
      <c r="I152" s="285" t="s">
        <v>858</v>
      </c>
      <c r="J152" s="284"/>
      <c r="K152" s="287">
        <v>1014240</v>
      </c>
      <c r="L152" s="287"/>
      <c r="M152" s="287"/>
      <c r="N152" s="287"/>
      <c r="O152" s="288">
        <v>970441</v>
      </c>
      <c r="P152" s="289">
        <f t="shared" si="5"/>
        <v>1984681</v>
      </c>
      <c r="Q152" s="283"/>
      <c r="R152" s="290"/>
      <c r="S152" s="291"/>
    </row>
    <row r="153" spans="1:19" ht="15" customHeight="1" x14ac:dyDescent="0.25">
      <c r="A153" s="283">
        <v>4376</v>
      </c>
      <c r="B153" s="284">
        <v>5222</v>
      </c>
      <c r="C153" s="284" t="s">
        <v>994</v>
      </c>
      <c r="D153" s="284" t="s">
        <v>995</v>
      </c>
      <c r="E153" s="285" t="s">
        <v>996</v>
      </c>
      <c r="F153" s="284">
        <v>63125137</v>
      </c>
      <c r="G153" s="286" t="s">
        <v>288</v>
      </c>
      <c r="H153" s="284">
        <v>3801846</v>
      </c>
      <c r="I153" s="285" t="s">
        <v>998</v>
      </c>
      <c r="J153" s="284"/>
      <c r="K153" s="287">
        <v>1937581</v>
      </c>
      <c r="L153" s="287"/>
      <c r="M153" s="287"/>
      <c r="N153" s="287"/>
      <c r="O153" s="288" t="s">
        <v>814</v>
      </c>
      <c r="P153" s="289">
        <f t="shared" si="5"/>
        <v>1937581</v>
      </c>
      <c r="Q153" s="283"/>
      <c r="R153" s="290"/>
      <c r="S153" s="291"/>
    </row>
    <row r="154" spans="1:19" ht="15" customHeight="1" x14ac:dyDescent="0.25">
      <c r="A154" s="283">
        <v>4378</v>
      </c>
      <c r="B154" s="284">
        <v>5222</v>
      </c>
      <c r="C154" s="284" t="s">
        <v>994</v>
      </c>
      <c r="D154" s="284" t="s">
        <v>995</v>
      </c>
      <c r="E154" s="285" t="s">
        <v>996</v>
      </c>
      <c r="F154" s="284">
        <v>63125137</v>
      </c>
      <c r="G154" s="286" t="s">
        <v>288</v>
      </c>
      <c r="H154" s="284">
        <v>8306216</v>
      </c>
      <c r="I154" s="285" t="s">
        <v>858</v>
      </c>
      <c r="J154" s="284"/>
      <c r="K154" s="287">
        <v>5760000</v>
      </c>
      <c r="L154" s="287"/>
      <c r="M154" s="287"/>
      <c r="N154" s="287"/>
      <c r="O154" s="288" t="s">
        <v>814</v>
      </c>
      <c r="P154" s="289">
        <f t="shared" si="5"/>
        <v>5760000</v>
      </c>
      <c r="Q154" s="283"/>
      <c r="R154" s="290"/>
      <c r="S154" s="291"/>
    </row>
    <row r="155" spans="1:19" ht="15" customHeight="1" x14ac:dyDescent="0.25">
      <c r="A155" s="283">
        <v>4374</v>
      </c>
      <c r="B155" s="284">
        <v>5222</v>
      </c>
      <c r="C155" s="284" t="s">
        <v>999</v>
      </c>
      <c r="D155" s="284" t="s">
        <v>1000</v>
      </c>
      <c r="E155" s="285" t="s">
        <v>18</v>
      </c>
      <c r="F155" s="284">
        <v>570931</v>
      </c>
      <c r="G155" s="286" t="s">
        <v>288</v>
      </c>
      <c r="H155" s="284">
        <v>1020591</v>
      </c>
      <c r="I155" s="285" t="s">
        <v>1001</v>
      </c>
      <c r="J155" s="284"/>
      <c r="K155" s="287">
        <v>1883405</v>
      </c>
      <c r="L155" s="287"/>
      <c r="M155" s="287"/>
      <c r="N155" s="287"/>
      <c r="O155" s="288" t="s">
        <v>814</v>
      </c>
      <c r="P155" s="289">
        <f t="shared" si="5"/>
        <v>1883405</v>
      </c>
      <c r="Q155" s="283"/>
      <c r="R155" s="290"/>
      <c r="S155" s="291"/>
    </row>
    <row r="156" spans="1:19" ht="15" customHeight="1" x14ac:dyDescent="0.25">
      <c r="A156" s="283">
        <v>4374</v>
      </c>
      <c r="B156" s="284">
        <v>5222</v>
      </c>
      <c r="C156" s="284" t="s">
        <v>999</v>
      </c>
      <c r="D156" s="284" t="s">
        <v>1000</v>
      </c>
      <c r="E156" s="285" t="s">
        <v>18</v>
      </c>
      <c r="F156" s="284">
        <v>570931</v>
      </c>
      <c r="G156" s="286" t="s">
        <v>288</v>
      </c>
      <c r="H156" s="284">
        <v>1303151</v>
      </c>
      <c r="I156" s="285" t="s">
        <v>1002</v>
      </c>
      <c r="J156" s="284"/>
      <c r="K156" s="287">
        <v>1044000</v>
      </c>
      <c r="L156" s="287"/>
      <c r="M156" s="287"/>
      <c r="N156" s="287"/>
      <c r="O156" s="288" t="s">
        <v>814</v>
      </c>
      <c r="P156" s="289">
        <f t="shared" si="5"/>
        <v>1044000</v>
      </c>
      <c r="Q156" s="283"/>
      <c r="R156" s="290"/>
      <c r="S156" s="291"/>
    </row>
    <row r="157" spans="1:19" ht="15" customHeight="1" x14ac:dyDescent="0.25">
      <c r="A157" s="283">
        <v>4378</v>
      </c>
      <c r="B157" s="284">
        <v>5222</v>
      </c>
      <c r="C157" s="284" t="s">
        <v>999</v>
      </c>
      <c r="D157" s="284" t="s">
        <v>1000</v>
      </c>
      <c r="E157" s="285" t="s">
        <v>18</v>
      </c>
      <c r="F157" s="284">
        <v>570931</v>
      </c>
      <c r="G157" s="286" t="s">
        <v>288</v>
      </c>
      <c r="H157" s="284">
        <v>1420566</v>
      </c>
      <c r="I157" s="285" t="s">
        <v>858</v>
      </c>
      <c r="J157" s="284"/>
      <c r="K157" s="287">
        <v>1614344</v>
      </c>
      <c r="L157" s="287"/>
      <c r="M157" s="287"/>
      <c r="N157" s="287"/>
      <c r="O157" s="288" t="s">
        <v>814</v>
      </c>
      <c r="P157" s="289">
        <f t="shared" si="5"/>
        <v>1614344</v>
      </c>
      <c r="Q157" s="283"/>
      <c r="R157" s="290"/>
      <c r="S157" s="291"/>
    </row>
    <row r="158" spans="1:19" ht="15" customHeight="1" x14ac:dyDescent="0.25">
      <c r="A158" s="283">
        <v>4378</v>
      </c>
      <c r="B158" s="284">
        <v>5222</v>
      </c>
      <c r="C158" s="284" t="s">
        <v>999</v>
      </c>
      <c r="D158" s="284" t="s">
        <v>1000</v>
      </c>
      <c r="E158" s="285" t="s">
        <v>18</v>
      </c>
      <c r="F158" s="284">
        <v>570931</v>
      </c>
      <c r="G158" s="286" t="s">
        <v>288</v>
      </c>
      <c r="H158" s="284">
        <v>1775589</v>
      </c>
      <c r="I158" s="285" t="s">
        <v>858</v>
      </c>
      <c r="J158" s="284"/>
      <c r="K158" s="287">
        <v>2786721</v>
      </c>
      <c r="L158" s="287"/>
      <c r="M158" s="287"/>
      <c r="N158" s="287"/>
      <c r="O158" s="288" t="s">
        <v>814</v>
      </c>
      <c r="P158" s="289">
        <f t="shared" si="5"/>
        <v>2786721</v>
      </c>
      <c r="Q158" s="283"/>
      <c r="R158" s="290"/>
      <c r="S158" s="291"/>
    </row>
    <row r="159" spans="1:19" ht="15" customHeight="1" x14ac:dyDescent="0.25">
      <c r="A159" s="283">
        <v>4374</v>
      </c>
      <c r="B159" s="284">
        <v>5222</v>
      </c>
      <c r="C159" s="284" t="s">
        <v>999</v>
      </c>
      <c r="D159" s="284" t="s">
        <v>1000</v>
      </c>
      <c r="E159" s="285" t="s">
        <v>18</v>
      </c>
      <c r="F159" s="284">
        <v>570931</v>
      </c>
      <c r="G159" s="286" t="s">
        <v>288</v>
      </c>
      <c r="H159" s="284">
        <v>2481915</v>
      </c>
      <c r="I159" s="285" t="s">
        <v>1001</v>
      </c>
      <c r="J159" s="284"/>
      <c r="K159" s="287">
        <v>2671725</v>
      </c>
      <c r="L159" s="287"/>
      <c r="M159" s="287"/>
      <c r="N159" s="287"/>
      <c r="O159" s="288" t="s">
        <v>814</v>
      </c>
      <c r="P159" s="289">
        <f t="shared" si="5"/>
        <v>2671725</v>
      </c>
      <c r="Q159" s="283"/>
      <c r="R159" s="290"/>
      <c r="S159" s="291"/>
    </row>
    <row r="160" spans="1:19" ht="15" customHeight="1" x14ac:dyDescent="0.25">
      <c r="A160" s="283">
        <v>4374</v>
      </c>
      <c r="B160" s="284">
        <v>5222</v>
      </c>
      <c r="C160" s="284" t="s">
        <v>999</v>
      </c>
      <c r="D160" s="284" t="s">
        <v>1000</v>
      </c>
      <c r="E160" s="285" t="s">
        <v>18</v>
      </c>
      <c r="F160" s="284">
        <v>570931</v>
      </c>
      <c r="G160" s="286" t="s">
        <v>288</v>
      </c>
      <c r="H160" s="284">
        <v>3822869</v>
      </c>
      <c r="I160" s="285" t="s">
        <v>1002</v>
      </c>
      <c r="J160" s="284"/>
      <c r="K160" s="287">
        <v>940380</v>
      </c>
      <c r="L160" s="287"/>
      <c r="M160" s="287"/>
      <c r="N160" s="287"/>
      <c r="O160" s="288" t="s">
        <v>814</v>
      </c>
      <c r="P160" s="289">
        <f t="shared" si="5"/>
        <v>940380</v>
      </c>
      <c r="Q160" s="283"/>
      <c r="R160" s="290"/>
      <c r="S160" s="291"/>
    </row>
    <row r="161" spans="1:19" ht="15" customHeight="1" x14ac:dyDescent="0.25">
      <c r="A161" s="283">
        <v>4374</v>
      </c>
      <c r="B161" s="284">
        <v>5222</v>
      </c>
      <c r="C161" s="284" t="s">
        <v>999</v>
      </c>
      <c r="D161" s="284" t="s">
        <v>1000</v>
      </c>
      <c r="E161" s="285" t="s">
        <v>18</v>
      </c>
      <c r="F161" s="284">
        <v>570931</v>
      </c>
      <c r="G161" s="286" t="s">
        <v>288</v>
      </c>
      <c r="H161" s="284">
        <v>5918012</v>
      </c>
      <c r="I161" s="285" t="s">
        <v>934</v>
      </c>
      <c r="J161" s="284"/>
      <c r="K161" s="287">
        <v>2299786</v>
      </c>
      <c r="L161" s="287"/>
      <c r="M161" s="287"/>
      <c r="N161" s="287"/>
      <c r="O161" s="288" t="s">
        <v>814</v>
      </c>
      <c r="P161" s="289">
        <f t="shared" si="5"/>
        <v>2299786</v>
      </c>
      <c r="Q161" s="283"/>
      <c r="R161" s="290"/>
      <c r="S161" s="291"/>
    </row>
    <row r="162" spans="1:19" ht="15" customHeight="1" x14ac:dyDescent="0.25">
      <c r="A162" s="283">
        <v>4378</v>
      </c>
      <c r="B162" s="284">
        <v>5222</v>
      </c>
      <c r="C162" s="284" t="s">
        <v>999</v>
      </c>
      <c r="D162" s="284" t="s">
        <v>1000</v>
      </c>
      <c r="E162" s="285" t="s">
        <v>18</v>
      </c>
      <c r="F162" s="284">
        <v>570931</v>
      </c>
      <c r="G162" s="286" t="s">
        <v>288</v>
      </c>
      <c r="H162" s="284">
        <v>9860755</v>
      </c>
      <c r="I162" s="285" t="s">
        <v>858</v>
      </c>
      <c r="J162" s="284"/>
      <c r="K162" s="287">
        <v>507360</v>
      </c>
      <c r="L162" s="287"/>
      <c r="M162" s="287"/>
      <c r="N162" s="287"/>
      <c r="O162" s="288" t="s">
        <v>814</v>
      </c>
      <c r="P162" s="289">
        <f t="shared" si="5"/>
        <v>507360</v>
      </c>
      <c r="Q162" s="283"/>
      <c r="R162" s="290"/>
      <c r="S162" s="291"/>
    </row>
    <row r="163" spans="1:19" ht="15" customHeight="1" x14ac:dyDescent="0.25">
      <c r="A163" s="283">
        <v>4354</v>
      </c>
      <c r="B163" s="284">
        <v>5221</v>
      </c>
      <c r="C163" s="284" t="s">
        <v>1003</v>
      </c>
      <c r="D163" s="284" t="s">
        <v>1004</v>
      </c>
      <c r="E163" s="285" t="s">
        <v>97</v>
      </c>
      <c r="F163" s="284">
        <v>26623064</v>
      </c>
      <c r="G163" s="286" t="s">
        <v>267</v>
      </c>
      <c r="H163" s="284">
        <v>1201824</v>
      </c>
      <c r="I163" s="285" t="s">
        <v>875</v>
      </c>
      <c r="J163" s="284"/>
      <c r="K163" s="287">
        <v>210000</v>
      </c>
      <c r="L163" s="287"/>
      <c r="M163" s="287"/>
      <c r="N163" s="287"/>
      <c r="O163" s="288" t="s">
        <v>814</v>
      </c>
      <c r="P163" s="289">
        <f t="shared" si="5"/>
        <v>210000</v>
      </c>
      <c r="Q163" s="283"/>
      <c r="R163" s="290"/>
      <c r="S163" s="291"/>
    </row>
    <row r="164" spans="1:19" ht="15" customHeight="1" x14ac:dyDescent="0.25">
      <c r="A164" s="283">
        <v>4374</v>
      </c>
      <c r="B164" s="284">
        <v>5221</v>
      </c>
      <c r="C164" s="284" t="s">
        <v>1005</v>
      </c>
      <c r="D164" s="284" t="s">
        <v>1006</v>
      </c>
      <c r="E164" s="285" t="s">
        <v>120</v>
      </c>
      <c r="F164" s="284">
        <v>27323773</v>
      </c>
      <c r="G164" s="286" t="s">
        <v>318</v>
      </c>
      <c r="H164" s="284">
        <v>6224406</v>
      </c>
      <c r="I164" s="285" t="s">
        <v>934</v>
      </c>
      <c r="J164" s="284"/>
      <c r="K164" s="287">
        <v>2612820</v>
      </c>
      <c r="L164" s="287"/>
      <c r="M164" s="287"/>
      <c r="N164" s="287"/>
      <c r="O164" s="288">
        <v>350000</v>
      </c>
      <c r="P164" s="289">
        <f t="shared" si="5"/>
        <v>2962820</v>
      </c>
      <c r="Q164" s="283"/>
      <c r="R164" s="290"/>
      <c r="S164" s="291"/>
    </row>
    <row r="165" spans="1:19" ht="15" customHeight="1" x14ac:dyDescent="0.25">
      <c r="A165" s="283">
        <v>4374</v>
      </c>
      <c r="B165" s="284">
        <v>5221</v>
      </c>
      <c r="C165" s="284" t="s">
        <v>1005</v>
      </c>
      <c r="D165" s="284" t="s">
        <v>1006</v>
      </c>
      <c r="E165" s="285" t="s">
        <v>120</v>
      </c>
      <c r="F165" s="284">
        <v>27323773</v>
      </c>
      <c r="G165" s="286" t="s">
        <v>318</v>
      </c>
      <c r="H165" s="284">
        <v>7228496</v>
      </c>
      <c r="I165" s="285" t="s">
        <v>934</v>
      </c>
      <c r="J165" s="284"/>
      <c r="K165" s="287">
        <v>2737680</v>
      </c>
      <c r="L165" s="287"/>
      <c r="M165" s="287"/>
      <c r="N165" s="287"/>
      <c r="O165" s="288">
        <v>782320</v>
      </c>
      <c r="P165" s="289">
        <f t="shared" si="5"/>
        <v>3520000</v>
      </c>
      <c r="Q165" s="283"/>
      <c r="R165" s="290"/>
      <c r="S165" s="291"/>
    </row>
    <row r="166" spans="1:19" ht="22.5" customHeight="1" x14ac:dyDescent="0.25">
      <c r="A166" s="283">
        <v>4358</v>
      </c>
      <c r="B166" s="284">
        <v>5321</v>
      </c>
      <c r="C166" s="284" t="s">
        <v>1007</v>
      </c>
      <c r="D166" s="284" t="s">
        <v>1008</v>
      </c>
      <c r="E166" s="285" t="s">
        <v>412</v>
      </c>
      <c r="F166" s="284">
        <v>829838</v>
      </c>
      <c r="G166" s="286" t="s">
        <v>324</v>
      </c>
      <c r="H166" s="284">
        <v>3702507</v>
      </c>
      <c r="I166" s="285" t="s">
        <v>1009</v>
      </c>
      <c r="J166" s="284"/>
      <c r="K166" s="287">
        <v>840000</v>
      </c>
      <c r="L166" s="287"/>
      <c r="M166" s="287"/>
      <c r="N166" s="287"/>
      <c r="O166" s="288" t="s">
        <v>814</v>
      </c>
      <c r="P166" s="289">
        <f t="shared" si="5"/>
        <v>840000</v>
      </c>
      <c r="Q166" s="283"/>
      <c r="R166" s="290"/>
      <c r="S166" s="291"/>
    </row>
    <row r="167" spans="1:19" ht="22.5" customHeight="1" x14ac:dyDescent="0.25">
      <c r="A167" s="283">
        <v>4358</v>
      </c>
      <c r="B167" s="284">
        <v>5321</v>
      </c>
      <c r="C167" s="284" t="s">
        <v>1010</v>
      </c>
      <c r="D167" s="284" t="s">
        <v>1011</v>
      </c>
      <c r="E167" s="285" t="s">
        <v>415</v>
      </c>
      <c r="F167" s="284">
        <v>854875</v>
      </c>
      <c r="G167" s="286" t="s">
        <v>324</v>
      </c>
      <c r="H167" s="284">
        <v>3682159</v>
      </c>
      <c r="I167" s="285" t="s">
        <v>1009</v>
      </c>
      <c r="J167" s="284"/>
      <c r="K167" s="287">
        <v>672000</v>
      </c>
      <c r="L167" s="287"/>
      <c r="M167" s="287"/>
      <c r="N167" s="287"/>
      <c r="O167" s="288" t="s">
        <v>814</v>
      </c>
      <c r="P167" s="289">
        <f t="shared" si="5"/>
        <v>672000</v>
      </c>
      <c r="Q167" s="283"/>
      <c r="R167" s="290"/>
      <c r="S167" s="291"/>
    </row>
    <row r="168" spans="1:19" ht="22.5" customHeight="1" x14ac:dyDescent="0.25">
      <c r="A168" s="283">
        <v>4358</v>
      </c>
      <c r="B168" s="284">
        <v>5213</v>
      </c>
      <c r="C168" s="284" t="s">
        <v>1012</v>
      </c>
      <c r="D168" s="284" t="s">
        <v>1013</v>
      </c>
      <c r="E168" s="285" t="s">
        <v>417</v>
      </c>
      <c r="F168" s="284">
        <v>27283518</v>
      </c>
      <c r="G168" s="286" t="s">
        <v>282</v>
      </c>
      <c r="H168" s="284">
        <v>4501907</v>
      </c>
      <c r="I168" s="285" t="s">
        <v>1009</v>
      </c>
      <c r="J168" s="284"/>
      <c r="K168" s="287">
        <v>500000</v>
      </c>
      <c r="L168" s="287"/>
      <c r="M168" s="287"/>
      <c r="N168" s="287"/>
      <c r="O168" s="288">
        <v>250000</v>
      </c>
      <c r="P168" s="289">
        <f t="shared" si="5"/>
        <v>750000</v>
      </c>
      <c r="Q168" s="283"/>
      <c r="R168" s="290"/>
      <c r="S168" s="291"/>
    </row>
    <row r="169" spans="1:19" ht="22.5" customHeight="1" x14ac:dyDescent="0.25">
      <c r="A169" s="283">
        <v>4371</v>
      </c>
      <c r="B169" s="284">
        <v>5222</v>
      </c>
      <c r="C169" s="284" t="s">
        <v>1014</v>
      </c>
      <c r="D169" s="284" t="s">
        <v>1015</v>
      </c>
      <c r="E169" s="285" t="s">
        <v>1016</v>
      </c>
      <c r="F169" s="284">
        <v>26636328</v>
      </c>
      <c r="G169" s="286" t="s">
        <v>288</v>
      </c>
      <c r="H169" s="284">
        <v>3910140</v>
      </c>
      <c r="I169" s="285" t="s">
        <v>840</v>
      </c>
      <c r="J169" s="284"/>
      <c r="K169" s="287">
        <v>2683881</v>
      </c>
      <c r="L169" s="287"/>
      <c r="M169" s="287"/>
      <c r="N169" s="287"/>
      <c r="O169" s="288" t="s">
        <v>814</v>
      </c>
      <c r="P169" s="289">
        <f t="shared" si="5"/>
        <v>2683881</v>
      </c>
      <c r="Q169" s="283"/>
      <c r="R169" s="290"/>
      <c r="S169" s="291"/>
    </row>
    <row r="170" spans="1:19" ht="15" customHeight="1" x14ac:dyDescent="0.25">
      <c r="A170" s="283">
        <v>4378</v>
      </c>
      <c r="B170" s="284">
        <v>5222</v>
      </c>
      <c r="C170" s="284" t="s">
        <v>1014</v>
      </c>
      <c r="D170" s="284" t="s">
        <v>1015</v>
      </c>
      <c r="E170" s="285" t="s">
        <v>1016</v>
      </c>
      <c r="F170" s="284">
        <v>26636328</v>
      </c>
      <c r="G170" s="286" t="s">
        <v>288</v>
      </c>
      <c r="H170" s="284">
        <v>5063729</v>
      </c>
      <c r="I170" s="285" t="s">
        <v>858</v>
      </c>
      <c r="J170" s="284"/>
      <c r="K170" s="287">
        <v>608640</v>
      </c>
      <c r="L170" s="287"/>
      <c r="M170" s="287"/>
      <c r="N170" s="287"/>
      <c r="O170" s="288" t="s">
        <v>814</v>
      </c>
      <c r="P170" s="289">
        <f t="shared" si="5"/>
        <v>608640</v>
      </c>
      <c r="Q170" s="283"/>
      <c r="R170" s="290"/>
      <c r="S170" s="291"/>
    </row>
    <row r="171" spans="1:19" ht="22.5" customHeight="1" x14ac:dyDescent="0.25">
      <c r="A171" s="283">
        <v>4371</v>
      </c>
      <c r="B171" s="284">
        <v>5222</v>
      </c>
      <c r="C171" s="284" t="s">
        <v>1014</v>
      </c>
      <c r="D171" s="284" t="s">
        <v>1015</v>
      </c>
      <c r="E171" s="285" t="s">
        <v>1016</v>
      </c>
      <c r="F171" s="284">
        <v>26636328</v>
      </c>
      <c r="G171" s="286" t="s">
        <v>288</v>
      </c>
      <c r="H171" s="284">
        <v>6374958</v>
      </c>
      <c r="I171" s="285" t="s">
        <v>840</v>
      </c>
      <c r="J171" s="284"/>
      <c r="K171" s="287">
        <v>1152000</v>
      </c>
      <c r="L171" s="287"/>
      <c r="M171" s="287"/>
      <c r="N171" s="287"/>
      <c r="O171" s="288" t="s">
        <v>814</v>
      </c>
      <c r="P171" s="289">
        <f t="shared" si="5"/>
        <v>1152000</v>
      </c>
      <c r="Q171" s="283"/>
      <c r="R171" s="290"/>
      <c r="S171" s="291"/>
    </row>
    <row r="172" spans="1:19" ht="22.5" customHeight="1" x14ac:dyDescent="0.25">
      <c r="A172" s="283">
        <v>4379</v>
      </c>
      <c r="B172" s="284">
        <v>5222</v>
      </c>
      <c r="C172" s="284" t="s">
        <v>1014</v>
      </c>
      <c r="D172" s="284" t="s">
        <v>1015</v>
      </c>
      <c r="E172" s="285" t="s">
        <v>1016</v>
      </c>
      <c r="F172" s="284">
        <v>26636328</v>
      </c>
      <c r="G172" s="286" t="s">
        <v>288</v>
      </c>
      <c r="H172" s="284">
        <v>8054292</v>
      </c>
      <c r="I172" s="285" t="s">
        <v>854</v>
      </c>
      <c r="J172" s="284"/>
      <c r="K172" s="287">
        <v>504000</v>
      </c>
      <c r="L172" s="287"/>
      <c r="M172" s="287"/>
      <c r="N172" s="287"/>
      <c r="O172" s="288" t="s">
        <v>814</v>
      </c>
      <c r="P172" s="289">
        <f t="shared" si="5"/>
        <v>504000</v>
      </c>
      <c r="Q172" s="283"/>
      <c r="R172" s="290"/>
      <c r="S172" s="291"/>
    </row>
    <row r="173" spans="1:19" ht="15" customHeight="1" x14ac:dyDescent="0.25">
      <c r="A173" s="283">
        <v>4312</v>
      </c>
      <c r="B173" s="284">
        <v>5222</v>
      </c>
      <c r="C173" s="284" t="s">
        <v>1014</v>
      </c>
      <c r="D173" s="284" t="s">
        <v>1015</v>
      </c>
      <c r="E173" s="285" t="s">
        <v>1016</v>
      </c>
      <c r="F173" s="284">
        <v>26636328</v>
      </c>
      <c r="G173" s="286" t="s">
        <v>288</v>
      </c>
      <c r="H173" s="284">
        <v>8791447</v>
      </c>
      <c r="I173" s="285" t="s">
        <v>813</v>
      </c>
      <c r="J173" s="284"/>
      <c r="K173" s="287">
        <v>602123</v>
      </c>
      <c r="L173" s="287"/>
      <c r="M173" s="287"/>
      <c r="N173" s="287"/>
      <c r="O173" s="288" t="s">
        <v>814</v>
      </c>
      <c r="P173" s="289">
        <f t="shared" si="5"/>
        <v>602123</v>
      </c>
      <c r="Q173" s="283"/>
      <c r="R173" s="290"/>
      <c r="S173" s="291"/>
    </row>
    <row r="174" spans="1:19" ht="15" customHeight="1" x14ac:dyDescent="0.25">
      <c r="A174" s="283">
        <v>4351</v>
      </c>
      <c r="B174" s="284">
        <v>5321</v>
      </c>
      <c r="C174" s="284" t="s">
        <v>1017</v>
      </c>
      <c r="D174" s="284" t="s">
        <v>1018</v>
      </c>
      <c r="E174" s="285" t="s">
        <v>418</v>
      </c>
      <c r="F174" s="284">
        <v>275735</v>
      </c>
      <c r="G174" s="286" t="s">
        <v>379</v>
      </c>
      <c r="H174" s="284">
        <v>7177985</v>
      </c>
      <c r="I174" s="285" t="s">
        <v>847</v>
      </c>
      <c r="J174" s="284"/>
      <c r="K174" s="287">
        <v>1386733</v>
      </c>
      <c r="L174" s="287"/>
      <c r="M174" s="287"/>
      <c r="N174" s="287"/>
      <c r="O174" s="288" t="s">
        <v>814</v>
      </c>
      <c r="P174" s="289">
        <f t="shared" si="5"/>
        <v>1386733</v>
      </c>
      <c r="Q174" s="283"/>
      <c r="R174" s="290"/>
      <c r="S174" s="291"/>
    </row>
    <row r="175" spans="1:19" ht="15" customHeight="1" x14ac:dyDescent="0.25">
      <c r="A175" s="283">
        <v>4351</v>
      </c>
      <c r="B175" s="284">
        <v>5321</v>
      </c>
      <c r="C175" s="284" t="s">
        <v>1019</v>
      </c>
      <c r="D175" s="284" t="s">
        <v>1020</v>
      </c>
      <c r="E175" s="285" t="s">
        <v>422</v>
      </c>
      <c r="F175" s="284">
        <v>275824</v>
      </c>
      <c r="G175" s="286" t="s">
        <v>379</v>
      </c>
      <c r="H175" s="284">
        <v>3415850</v>
      </c>
      <c r="I175" s="285" t="s">
        <v>847</v>
      </c>
      <c r="J175" s="284"/>
      <c r="K175" s="287">
        <v>1095597</v>
      </c>
      <c r="L175" s="287"/>
      <c r="M175" s="287"/>
      <c r="N175" s="287"/>
      <c r="O175" s="288" t="s">
        <v>814</v>
      </c>
      <c r="P175" s="289">
        <f t="shared" si="5"/>
        <v>1095597</v>
      </c>
      <c r="Q175" s="283"/>
      <c r="R175" s="290"/>
      <c r="S175" s="291"/>
    </row>
    <row r="176" spans="1:19" ht="15" customHeight="1" x14ac:dyDescent="0.25">
      <c r="A176" s="283">
        <v>4351</v>
      </c>
      <c r="B176" s="284">
        <v>5321</v>
      </c>
      <c r="C176" s="284" t="s">
        <v>1021</v>
      </c>
      <c r="D176" s="284" t="s">
        <v>1022</v>
      </c>
      <c r="E176" s="285" t="s">
        <v>424</v>
      </c>
      <c r="F176" s="284">
        <v>275913</v>
      </c>
      <c r="G176" s="286" t="s">
        <v>379</v>
      </c>
      <c r="H176" s="284">
        <v>3005927</v>
      </c>
      <c r="I176" s="285" t="s">
        <v>847</v>
      </c>
      <c r="J176" s="284"/>
      <c r="K176" s="287">
        <v>480000</v>
      </c>
      <c r="L176" s="287"/>
      <c r="M176" s="287"/>
      <c r="N176" s="287"/>
      <c r="O176" s="288" t="s">
        <v>814</v>
      </c>
      <c r="P176" s="289">
        <f t="shared" si="5"/>
        <v>480000</v>
      </c>
      <c r="Q176" s="283"/>
      <c r="R176" s="290"/>
      <c r="S176" s="291"/>
    </row>
    <row r="177" spans="1:19" ht="15" customHeight="1" x14ac:dyDescent="0.25">
      <c r="A177" s="283">
        <v>4351</v>
      </c>
      <c r="B177" s="284">
        <v>5321</v>
      </c>
      <c r="C177" s="284" t="s">
        <v>1023</v>
      </c>
      <c r="D177" s="284" t="s">
        <v>1024</v>
      </c>
      <c r="E177" s="285" t="s">
        <v>426</v>
      </c>
      <c r="F177" s="284">
        <v>276006</v>
      </c>
      <c r="G177" s="286" t="s">
        <v>379</v>
      </c>
      <c r="H177" s="284">
        <v>3977219</v>
      </c>
      <c r="I177" s="285" t="s">
        <v>847</v>
      </c>
      <c r="J177" s="284"/>
      <c r="K177" s="287">
        <v>350000</v>
      </c>
      <c r="L177" s="287"/>
      <c r="M177" s="287"/>
      <c r="N177" s="287"/>
      <c r="O177" s="288" t="s">
        <v>814</v>
      </c>
      <c r="P177" s="289">
        <f t="shared" si="5"/>
        <v>350000</v>
      </c>
      <c r="Q177" s="283"/>
      <c r="R177" s="290"/>
      <c r="S177" s="291"/>
    </row>
    <row r="178" spans="1:19" ht="22.5" customHeight="1" x14ac:dyDescent="0.25">
      <c r="A178" s="283">
        <v>4371</v>
      </c>
      <c r="B178" s="284">
        <v>5223</v>
      </c>
      <c r="C178" s="284" t="s">
        <v>1025</v>
      </c>
      <c r="D178" s="284" t="s">
        <v>1026</v>
      </c>
      <c r="E178" s="285" t="s">
        <v>146</v>
      </c>
      <c r="F178" s="284">
        <v>73633755</v>
      </c>
      <c r="G178" s="286" t="s">
        <v>340</v>
      </c>
      <c r="H178" s="284">
        <v>2584331</v>
      </c>
      <c r="I178" s="285" t="s">
        <v>840</v>
      </c>
      <c r="J178" s="284"/>
      <c r="K178" s="287">
        <v>576000</v>
      </c>
      <c r="L178" s="287"/>
      <c r="M178" s="287"/>
      <c r="N178" s="287"/>
      <c r="O178" s="288">
        <v>124337</v>
      </c>
      <c r="P178" s="289">
        <f t="shared" si="5"/>
        <v>700337</v>
      </c>
      <c r="Q178" s="283"/>
      <c r="R178" s="290"/>
      <c r="S178" s="291"/>
    </row>
    <row r="179" spans="1:19" ht="15" customHeight="1" x14ac:dyDescent="0.25">
      <c r="A179" s="283">
        <v>4357</v>
      </c>
      <c r="B179" s="284">
        <v>5223</v>
      </c>
      <c r="C179" s="284" t="s">
        <v>1025</v>
      </c>
      <c r="D179" s="284" t="s">
        <v>1026</v>
      </c>
      <c r="E179" s="285" t="s">
        <v>146</v>
      </c>
      <c r="F179" s="284">
        <v>73633755</v>
      </c>
      <c r="G179" s="286" t="s">
        <v>340</v>
      </c>
      <c r="H179" s="284">
        <v>4785596</v>
      </c>
      <c r="I179" s="285" t="s">
        <v>825</v>
      </c>
      <c r="J179" s="284"/>
      <c r="K179" s="287">
        <v>11472070</v>
      </c>
      <c r="L179" s="287"/>
      <c r="M179" s="287"/>
      <c r="N179" s="287"/>
      <c r="O179" s="288" t="s">
        <v>814</v>
      </c>
      <c r="P179" s="289">
        <f t="shared" si="5"/>
        <v>11472070</v>
      </c>
      <c r="Q179" s="283"/>
      <c r="R179" s="290"/>
      <c r="S179" s="291"/>
    </row>
    <row r="180" spans="1:19" ht="22.5" customHeight="1" x14ac:dyDescent="0.25">
      <c r="A180" s="283">
        <v>4357</v>
      </c>
      <c r="B180" s="284">
        <v>5336</v>
      </c>
      <c r="C180" s="284" t="s">
        <v>1027</v>
      </c>
      <c r="D180" s="284" t="s">
        <v>1028</v>
      </c>
      <c r="E180" s="285" t="s">
        <v>433</v>
      </c>
      <c r="F180" s="284">
        <v>48282944</v>
      </c>
      <c r="G180" s="286" t="s">
        <v>324</v>
      </c>
      <c r="H180" s="284">
        <v>7759833</v>
      </c>
      <c r="I180" s="285" t="s">
        <v>829</v>
      </c>
      <c r="J180" s="284"/>
      <c r="K180" s="287">
        <v>19692000</v>
      </c>
      <c r="L180" s="287"/>
      <c r="M180" s="287"/>
      <c r="N180" s="287"/>
      <c r="O180" s="288" t="s">
        <v>814</v>
      </c>
      <c r="P180" s="289">
        <f t="shared" si="5"/>
        <v>19692000</v>
      </c>
      <c r="Q180" s="283"/>
      <c r="R180" s="290"/>
      <c r="S180" s="291"/>
    </row>
    <row r="181" spans="1:19" ht="15" customHeight="1" x14ac:dyDescent="0.25">
      <c r="A181" s="283">
        <v>4357</v>
      </c>
      <c r="B181" s="284">
        <v>5221</v>
      </c>
      <c r="C181" s="284" t="s">
        <v>1029</v>
      </c>
      <c r="D181" s="284" t="s">
        <v>1030</v>
      </c>
      <c r="E181" s="285" t="s">
        <v>434</v>
      </c>
      <c r="F181" s="284">
        <v>27284506</v>
      </c>
      <c r="G181" s="286" t="s">
        <v>318</v>
      </c>
      <c r="H181" s="284">
        <v>2572767</v>
      </c>
      <c r="I181" s="285" t="s">
        <v>825</v>
      </c>
      <c r="J181" s="284"/>
      <c r="K181" s="287">
        <v>14816506</v>
      </c>
      <c r="L181" s="287"/>
      <c r="M181" s="287"/>
      <c r="N181" s="287"/>
      <c r="O181" s="288" t="s">
        <v>814</v>
      </c>
      <c r="P181" s="289">
        <f t="shared" si="5"/>
        <v>14816506</v>
      </c>
      <c r="Q181" s="283"/>
      <c r="R181" s="290"/>
      <c r="S181" s="291"/>
    </row>
    <row r="182" spans="1:19" ht="15" customHeight="1" x14ac:dyDescent="0.25">
      <c r="A182" s="283">
        <v>4350</v>
      </c>
      <c r="B182" s="284">
        <v>5221</v>
      </c>
      <c r="C182" s="284" t="s">
        <v>1029</v>
      </c>
      <c r="D182" s="284" t="s">
        <v>1030</v>
      </c>
      <c r="E182" s="285" t="s">
        <v>434</v>
      </c>
      <c r="F182" s="284">
        <v>27284506</v>
      </c>
      <c r="G182" s="286" t="s">
        <v>318</v>
      </c>
      <c r="H182" s="284">
        <v>6967411</v>
      </c>
      <c r="I182" s="285" t="s">
        <v>817</v>
      </c>
      <c r="J182" s="284"/>
      <c r="K182" s="287">
        <v>6084000</v>
      </c>
      <c r="L182" s="287"/>
      <c r="M182" s="287"/>
      <c r="N182" s="287"/>
      <c r="O182" s="288" t="s">
        <v>814</v>
      </c>
      <c r="P182" s="289">
        <f t="shared" si="5"/>
        <v>6084000</v>
      </c>
      <c r="Q182" s="283"/>
      <c r="R182" s="290"/>
      <c r="S182" s="291"/>
    </row>
    <row r="183" spans="1:19" ht="15" customHeight="1" x14ac:dyDescent="0.25">
      <c r="A183" s="283">
        <v>4351</v>
      </c>
      <c r="B183" s="284">
        <v>5321</v>
      </c>
      <c r="C183" s="284" t="s">
        <v>1031</v>
      </c>
      <c r="D183" s="284" t="s">
        <v>1032</v>
      </c>
      <c r="E183" s="285" t="s">
        <v>1033</v>
      </c>
      <c r="F183" s="284">
        <v>72744723</v>
      </c>
      <c r="G183" s="286" t="s">
        <v>324</v>
      </c>
      <c r="H183" s="284">
        <v>6191395</v>
      </c>
      <c r="I183" s="285" t="s">
        <v>847</v>
      </c>
      <c r="J183" s="284"/>
      <c r="K183" s="287">
        <v>2200000</v>
      </c>
      <c r="L183" s="287"/>
      <c r="M183" s="287"/>
      <c r="N183" s="287"/>
      <c r="O183" s="288" t="s">
        <v>814</v>
      </c>
      <c r="P183" s="289">
        <f t="shared" si="5"/>
        <v>2200000</v>
      </c>
      <c r="Q183" s="283"/>
      <c r="R183" s="290"/>
      <c r="S183" s="291"/>
    </row>
    <row r="184" spans="1:19" ht="15" customHeight="1" x14ac:dyDescent="0.25">
      <c r="A184" s="283">
        <v>4351</v>
      </c>
      <c r="B184" s="284">
        <v>5321</v>
      </c>
      <c r="C184" s="284" t="s">
        <v>1034</v>
      </c>
      <c r="D184" s="284" t="s">
        <v>1035</v>
      </c>
      <c r="E184" s="285" t="s">
        <v>1036</v>
      </c>
      <c r="F184" s="284">
        <v>71177248</v>
      </c>
      <c r="G184" s="286" t="s">
        <v>324</v>
      </c>
      <c r="H184" s="284">
        <v>5475959</v>
      </c>
      <c r="I184" s="285" t="s">
        <v>847</v>
      </c>
      <c r="J184" s="284"/>
      <c r="K184" s="287">
        <v>2200000</v>
      </c>
      <c r="L184" s="287"/>
      <c r="M184" s="287"/>
      <c r="N184" s="287"/>
      <c r="O184" s="288" t="s">
        <v>814</v>
      </c>
      <c r="P184" s="289">
        <f t="shared" si="5"/>
        <v>2200000</v>
      </c>
      <c r="Q184" s="283"/>
      <c r="R184" s="290"/>
      <c r="S184" s="291"/>
    </row>
    <row r="185" spans="1:19" ht="15" customHeight="1" x14ac:dyDescent="0.25">
      <c r="A185" s="283">
        <v>4351</v>
      </c>
      <c r="B185" s="284">
        <v>5321</v>
      </c>
      <c r="C185" s="284" t="s">
        <v>1037</v>
      </c>
      <c r="D185" s="284" t="s">
        <v>1038</v>
      </c>
      <c r="E185" s="285" t="s">
        <v>437</v>
      </c>
      <c r="F185" s="284">
        <v>8163936</v>
      </c>
      <c r="G185" s="286" t="s">
        <v>324</v>
      </c>
      <c r="H185" s="284">
        <v>7663161</v>
      </c>
      <c r="I185" s="285" t="s">
        <v>847</v>
      </c>
      <c r="J185" s="284"/>
      <c r="K185" s="287">
        <v>3565800</v>
      </c>
      <c r="L185" s="287"/>
      <c r="M185" s="287"/>
      <c r="N185" s="287"/>
      <c r="O185" s="288" t="s">
        <v>814</v>
      </c>
      <c r="P185" s="289">
        <f t="shared" si="5"/>
        <v>3565800</v>
      </c>
      <c r="Q185" s="283"/>
      <c r="R185" s="290"/>
      <c r="S185" s="291"/>
    </row>
    <row r="186" spans="1:19" ht="22.5" customHeight="1" x14ac:dyDescent="0.25">
      <c r="A186" s="283">
        <v>4379</v>
      </c>
      <c r="B186" s="284">
        <v>5221</v>
      </c>
      <c r="C186" s="284" t="s">
        <v>1039</v>
      </c>
      <c r="D186" s="284" t="s">
        <v>1040</v>
      </c>
      <c r="E186" s="285" t="s">
        <v>306</v>
      </c>
      <c r="F186" s="284">
        <v>6627421</v>
      </c>
      <c r="G186" s="286" t="s">
        <v>267</v>
      </c>
      <c r="H186" s="284">
        <v>1273599</v>
      </c>
      <c r="I186" s="285" t="s">
        <v>854</v>
      </c>
      <c r="J186" s="284"/>
      <c r="K186" s="287">
        <v>1260000</v>
      </c>
      <c r="L186" s="287"/>
      <c r="M186" s="287"/>
      <c r="N186" s="287"/>
      <c r="O186" s="288">
        <v>302242</v>
      </c>
      <c r="P186" s="289">
        <f t="shared" si="5"/>
        <v>1562242</v>
      </c>
      <c r="Q186" s="283"/>
      <c r="R186" s="290"/>
      <c r="S186" s="291"/>
    </row>
    <row r="187" spans="1:19" ht="15" customHeight="1" x14ac:dyDescent="0.25">
      <c r="A187" s="283">
        <v>4351</v>
      </c>
      <c r="B187" s="284">
        <v>5221</v>
      </c>
      <c r="C187" s="284" t="s">
        <v>1041</v>
      </c>
      <c r="D187" s="284" t="s">
        <v>1042</v>
      </c>
      <c r="E187" s="285" t="s">
        <v>1043</v>
      </c>
      <c r="F187" s="284">
        <v>25447726</v>
      </c>
      <c r="G187" s="286" t="s">
        <v>318</v>
      </c>
      <c r="H187" s="284">
        <v>2049573</v>
      </c>
      <c r="I187" s="285" t="s">
        <v>844</v>
      </c>
      <c r="J187" s="284"/>
      <c r="K187" s="287">
        <v>11623920</v>
      </c>
      <c r="L187" s="287"/>
      <c r="M187" s="287"/>
      <c r="N187" s="287"/>
      <c r="O187" s="288">
        <v>1412322</v>
      </c>
      <c r="P187" s="289">
        <f t="shared" si="5"/>
        <v>13036242</v>
      </c>
      <c r="Q187" s="283"/>
      <c r="R187" s="290"/>
      <c r="S187" s="291"/>
    </row>
    <row r="188" spans="1:19" ht="22.5" customHeight="1" x14ac:dyDescent="0.25">
      <c r="A188" s="283">
        <v>4375</v>
      </c>
      <c r="B188" s="284">
        <v>5221</v>
      </c>
      <c r="C188" s="284" t="s">
        <v>1044</v>
      </c>
      <c r="D188" s="284" t="s">
        <v>1045</v>
      </c>
      <c r="E188" s="285" t="s">
        <v>210</v>
      </c>
      <c r="F188" s="284">
        <v>27004295</v>
      </c>
      <c r="G188" s="286" t="s">
        <v>267</v>
      </c>
      <c r="H188" s="284">
        <v>2930990</v>
      </c>
      <c r="I188" s="285" t="s">
        <v>857</v>
      </c>
      <c r="J188" s="284"/>
      <c r="K188" s="287">
        <v>2100000</v>
      </c>
      <c r="L188" s="287"/>
      <c r="M188" s="287"/>
      <c r="N188" s="287"/>
      <c r="O188" s="288">
        <v>408000</v>
      </c>
      <c r="P188" s="289">
        <f t="shared" si="5"/>
        <v>2508000</v>
      </c>
      <c r="Q188" s="283"/>
      <c r="R188" s="290"/>
      <c r="S188" s="291"/>
    </row>
    <row r="189" spans="1:19" ht="22.5" customHeight="1" x14ac:dyDescent="0.25">
      <c r="A189" s="283">
        <v>4371</v>
      </c>
      <c r="B189" s="284">
        <v>5221</v>
      </c>
      <c r="C189" s="284" t="s">
        <v>1044</v>
      </c>
      <c r="D189" s="284" t="s">
        <v>1045</v>
      </c>
      <c r="E189" s="285" t="s">
        <v>210</v>
      </c>
      <c r="F189" s="284">
        <v>27004295</v>
      </c>
      <c r="G189" s="286" t="s">
        <v>267</v>
      </c>
      <c r="H189" s="284">
        <v>3912232</v>
      </c>
      <c r="I189" s="285" t="s">
        <v>840</v>
      </c>
      <c r="J189" s="284"/>
      <c r="K189" s="287">
        <v>499200</v>
      </c>
      <c r="L189" s="287"/>
      <c r="M189" s="287"/>
      <c r="N189" s="287"/>
      <c r="O189" s="288">
        <v>99600</v>
      </c>
      <c r="P189" s="289">
        <f t="shared" si="5"/>
        <v>598800</v>
      </c>
      <c r="Q189" s="283"/>
      <c r="R189" s="290"/>
      <c r="S189" s="291"/>
    </row>
    <row r="190" spans="1:19" ht="15" customHeight="1" x14ac:dyDescent="0.25">
      <c r="A190" s="283">
        <v>4312</v>
      </c>
      <c r="B190" s="284">
        <v>5221</v>
      </c>
      <c r="C190" s="284" t="s">
        <v>1044</v>
      </c>
      <c r="D190" s="284" t="s">
        <v>1045</v>
      </c>
      <c r="E190" s="285" t="s">
        <v>210</v>
      </c>
      <c r="F190" s="284">
        <v>27004295</v>
      </c>
      <c r="G190" s="286" t="s">
        <v>267</v>
      </c>
      <c r="H190" s="284">
        <v>8466886</v>
      </c>
      <c r="I190" s="285" t="s">
        <v>813</v>
      </c>
      <c r="J190" s="284"/>
      <c r="K190" s="287">
        <v>1176000</v>
      </c>
      <c r="L190" s="287"/>
      <c r="M190" s="287"/>
      <c r="N190" s="287"/>
      <c r="O190" s="288" t="s">
        <v>814</v>
      </c>
      <c r="P190" s="289">
        <f t="shared" si="5"/>
        <v>1176000</v>
      </c>
      <c r="Q190" s="283"/>
      <c r="R190" s="290"/>
      <c r="S190" s="291"/>
    </row>
    <row r="191" spans="1:19" ht="15" customHeight="1" x14ac:dyDescent="0.25">
      <c r="A191" s="283">
        <v>4357</v>
      </c>
      <c r="B191" s="284">
        <v>5221</v>
      </c>
      <c r="C191" s="284" t="s">
        <v>1046</v>
      </c>
      <c r="D191" s="284" t="s">
        <v>1047</v>
      </c>
      <c r="E191" s="285" t="s">
        <v>56</v>
      </c>
      <c r="F191" s="284">
        <v>22829903</v>
      </c>
      <c r="G191" s="286" t="s">
        <v>267</v>
      </c>
      <c r="H191" s="284">
        <v>5391602</v>
      </c>
      <c r="I191" s="285" t="s">
        <v>825</v>
      </c>
      <c r="J191" s="284"/>
      <c r="K191" s="287">
        <v>9330581</v>
      </c>
      <c r="L191" s="287"/>
      <c r="M191" s="287"/>
      <c r="N191" s="287"/>
      <c r="O191" s="288" t="s">
        <v>814</v>
      </c>
      <c r="P191" s="289">
        <f t="shared" si="5"/>
        <v>9330581</v>
      </c>
      <c r="Q191" s="283"/>
      <c r="R191" s="290"/>
      <c r="S191" s="291"/>
    </row>
    <row r="192" spans="1:19" ht="15" customHeight="1" x14ac:dyDescent="0.25">
      <c r="A192" s="283">
        <v>4351</v>
      </c>
      <c r="B192" s="284">
        <v>5221</v>
      </c>
      <c r="C192" s="284" t="s">
        <v>1046</v>
      </c>
      <c r="D192" s="284" t="s">
        <v>1047</v>
      </c>
      <c r="E192" s="285" t="s">
        <v>56</v>
      </c>
      <c r="F192" s="284">
        <v>22829903</v>
      </c>
      <c r="G192" s="286" t="s">
        <v>267</v>
      </c>
      <c r="H192" s="284">
        <v>8419868</v>
      </c>
      <c r="I192" s="285" t="s">
        <v>844</v>
      </c>
      <c r="J192" s="284"/>
      <c r="K192" s="287">
        <v>6301367</v>
      </c>
      <c r="L192" s="287"/>
      <c r="M192" s="287"/>
      <c r="N192" s="287"/>
      <c r="O192" s="288">
        <v>1812875</v>
      </c>
      <c r="P192" s="289">
        <f t="shared" si="5"/>
        <v>8114242</v>
      </c>
      <c r="Q192" s="283"/>
      <c r="R192" s="290"/>
      <c r="S192" s="291"/>
    </row>
    <row r="193" spans="1:19" ht="15" customHeight="1" x14ac:dyDescent="0.25">
      <c r="A193" s="283">
        <v>4378</v>
      </c>
      <c r="B193" s="284">
        <v>5221</v>
      </c>
      <c r="C193" s="284" t="s">
        <v>1048</v>
      </c>
      <c r="D193" s="284" t="s">
        <v>1049</v>
      </c>
      <c r="E193" s="285" t="s">
        <v>174</v>
      </c>
      <c r="F193" s="284">
        <v>26537036</v>
      </c>
      <c r="G193" s="286" t="s">
        <v>318</v>
      </c>
      <c r="H193" s="284">
        <v>1161877</v>
      </c>
      <c r="I193" s="285" t="s">
        <v>858</v>
      </c>
      <c r="J193" s="284"/>
      <c r="K193" s="287">
        <v>5205822</v>
      </c>
      <c r="L193" s="287"/>
      <c r="M193" s="287"/>
      <c r="N193" s="287"/>
      <c r="O193" s="288">
        <v>693021</v>
      </c>
      <c r="P193" s="289">
        <f t="shared" si="5"/>
        <v>5898843</v>
      </c>
      <c r="Q193" s="283"/>
      <c r="R193" s="290"/>
      <c r="S193" s="291"/>
    </row>
    <row r="194" spans="1:19" ht="15" customHeight="1" x14ac:dyDescent="0.25">
      <c r="A194" s="283">
        <v>4312</v>
      </c>
      <c r="B194" s="284">
        <v>5221</v>
      </c>
      <c r="C194" s="284" t="s">
        <v>1048</v>
      </c>
      <c r="D194" s="284" t="s">
        <v>1049</v>
      </c>
      <c r="E194" s="285" t="s">
        <v>174</v>
      </c>
      <c r="F194" s="284">
        <v>26537036</v>
      </c>
      <c r="G194" s="286" t="s">
        <v>318</v>
      </c>
      <c r="H194" s="284">
        <v>1464519</v>
      </c>
      <c r="I194" s="285" t="s">
        <v>813</v>
      </c>
      <c r="J194" s="284"/>
      <c r="K194" s="287">
        <v>999008</v>
      </c>
      <c r="L194" s="287"/>
      <c r="M194" s="287"/>
      <c r="N194" s="287"/>
      <c r="O194" s="288">
        <v>116756</v>
      </c>
      <c r="P194" s="289">
        <f t="shared" si="5"/>
        <v>1115764</v>
      </c>
      <c r="Q194" s="283"/>
      <c r="R194" s="290"/>
      <c r="S194" s="291"/>
    </row>
    <row r="195" spans="1:19" ht="15" customHeight="1" x14ac:dyDescent="0.25">
      <c r="A195" s="283">
        <v>4356</v>
      </c>
      <c r="B195" s="284">
        <v>5222</v>
      </c>
      <c r="C195" s="284" t="s">
        <v>1050</v>
      </c>
      <c r="D195" s="284" t="s">
        <v>1051</v>
      </c>
      <c r="E195" s="285" t="s">
        <v>84</v>
      </c>
      <c r="F195" s="284">
        <v>27016781</v>
      </c>
      <c r="G195" s="286" t="s">
        <v>288</v>
      </c>
      <c r="H195" s="284">
        <v>9603734</v>
      </c>
      <c r="I195" s="285" t="s">
        <v>822</v>
      </c>
      <c r="J195" s="284"/>
      <c r="K195" s="287">
        <v>2076814</v>
      </c>
      <c r="L195" s="287"/>
      <c r="M195" s="287"/>
      <c r="N195" s="287"/>
      <c r="O195" s="288">
        <v>929028</v>
      </c>
      <c r="P195" s="289">
        <f t="shared" si="5"/>
        <v>3005842</v>
      </c>
      <c r="Q195" s="283"/>
      <c r="R195" s="290"/>
      <c r="S195" s="291"/>
    </row>
    <row r="196" spans="1:19" ht="15" customHeight="1" x14ac:dyDescent="0.25">
      <c r="A196" s="283">
        <v>4344</v>
      </c>
      <c r="B196" s="284">
        <v>5221</v>
      </c>
      <c r="C196" s="284" t="s">
        <v>1052</v>
      </c>
      <c r="D196" s="284" t="s">
        <v>1053</v>
      </c>
      <c r="E196" s="285" t="s">
        <v>105</v>
      </c>
      <c r="F196" s="284">
        <v>27322793</v>
      </c>
      <c r="G196" s="286" t="s">
        <v>318</v>
      </c>
      <c r="H196" s="284">
        <v>2527518</v>
      </c>
      <c r="I196" s="285" t="s">
        <v>869</v>
      </c>
      <c r="J196" s="284"/>
      <c r="K196" s="287">
        <v>8688908</v>
      </c>
      <c r="L196" s="292">
        <v>5213345</v>
      </c>
      <c r="M196" s="292">
        <v>3475563</v>
      </c>
      <c r="N196" s="292">
        <f>L196+M196</f>
        <v>8688908</v>
      </c>
      <c r="O196" s="288" t="s">
        <v>814</v>
      </c>
      <c r="P196" s="289">
        <f>K196-L196-M196+O196</f>
        <v>0</v>
      </c>
      <c r="Q196" s="283"/>
      <c r="R196" s="290"/>
      <c r="S196" s="291"/>
    </row>
    <row r="197" spans="1:19" ht="15" customHeight="1" x14ac:dyDescent="0.25">
      <c r="A197" s="283">
        <v>4344</v>
      </c>
      <c r="B197" s="284">
        <v>5222</v>
      </c>
      <c r="C197" s="284" t="s">
        <v>1054</v>
      </c>
      <c r="D197" s="284" t="s">
        <v>1055</v>
      </c>
      <c r="E197" s="285" t="s">
        <v>225</v>
      </c>
      <c r="F197" s="284">
        <v>26672472</v>
      </c>
      <c r="G197" s="286" t="s">
        <v>288</v>
      </c>
      <c r="H197" s="284">
        <v>1895540</v>
      </c>
      <c r="I197" s="285" t="s">
        <v>869</v>
      </c>
      <c r="J197" s="284"/>
      <c r="K197" s="287">
        <v>1390225</v>
      </c>
      <c r="L197" s="292">
        <v>834135</v>
      </c>
      <c r="M197" s="292">
        <v>556090</v>
      </c>
      <c r="N197" s="292">
        <f>L197+M197</f>
        <v>1390225</v>
      </c>
      <c r="O197" s="288" t="s">
        <v>814</v>
      </c>
      <c r="P197" s="289">
        <f>K197-L197-M197+O197</f>
        <v>0</v>
      </c>
      <c r="Q197" s="283"/>
      <c r="R197" s="290"/>
      <c r="S197" s="291"/>
    </row>
    <row r="198" spans="1:19" ht="22.5" customHeight="1" x14ac:dyDescent="0.25">
      <c r="A198" s="283">
        <v>4371</v>
      </c>
      <c r="B198" s="284">
        <v>5222</v>
      </c>
      <c r="C198" s="284" t="s">
        <v>1054</v>
      </c>
      <c r="D198" s="284" t="s">
        <v>1055</v>
      </c>
      <c r="E198" s="285" t="s">
        <v>225</v>
      </c>
      <c r="F198" s="284">
        <v>26672472</v>
      </c>
      <c r="G198" s="286" t="s">
        <v>288</v>
      </c>
      <c r="H198" s="284">
        <v>3488670</v>
      </c>
      <c r="I198" s="285" t="s">
        <v>840</v>
      </c>
      <c r="J198" s="284"/>
      <c r="K198" s="287">
        <v>976762</v>
      </c>
      <c r="L198" s="287"/>
      <c r="M198" s="287"/>
      <c r="N198" s="287"/>
      <c r="O198" s="288">
        <v>926700</v>
      </c>
      <c r="P198" s="289">
        <f t="shared" si="5"/>
        <v>1903462</v>
      </c>
      <c r="Q198" s="283"/>
      <c r="R198" s="290"/>
      <c r="S198" s="291"/>
    </row>
    <row r="199" spans="1:19" ht="15" customHeight="1" x14ac:dyDescent="0.25">
      <c r="A199" s="283">
        <v>4354</v>
      </c>
      <c r="B199" s="284">
        <v>5222</v>
      </c>
      <c r="C199" s="284" t="s">
        <v>1054</v>
      </c>
      <c r="D199" s="284" t="s">
        <v>1055</v>
      </c>
      <c r="E199" s="285" t="s">
        <v>225</v>
      </c>
      <c r="F199" s="284">
        <v>26672472</v>
      </c>
      <c r="G199" s="286" t="s">
        <v>288</v>
      </c>
      <c r="H199" s="284">
        <v>8533092</v>
      </c>
      <c r="I199" s="285" t="s">
        <v>875</v>
      </c>
      <c r="J199" s="284"/>
      <c r="K199" s="287">
        <v>2880000</v>
      </c>
      <c r="L199" s="287"/>
      <c r="M199" s="287"/>
      <c r="N199" s="287"/>
      <c r="O199" s="288">
        <v>762413</v>
      </c>
      <c r="P199" s="289">
        <f t="shared" si="5"/>
        <v>3642413</v>
      </c>
      <c r="Q199" s="283"/>
      <c r="R199" s="290"/>
      <c r="S199" s="291"/>
    </row>
    <row r="200" spans="1:19" ht="22.5" customHeight="1" x14ac:dyDescent="0.25">
      <c r="A200" s="283">
        <v>4379</v>
      </c>
      <c r="B200" s="284">
        <v>5221</v>
      </c>
      <c r="C200" s="284" t="s">
        <v>1056</v>
      </c>
      <c r="D200" s="284" t="s">
        <v>1057</v>
      </c>
      <c r="E200" s="285" t="s">
        <v>442</v>
      </c>
      <c r="F200" s="284">
        <v>2107538</v>
      </c>
      <c r="G200" s="286" t="s">
        <v>318</v>
      </c>
      <c r="H200" s="284">
        <v>9072226</v>
      </c>
      <c r="I200" s="285" t="s">
        <v>854</v>
      </c>
      <c r="J200" s="284"/>
      <c r="K200" s="287">
        <v>909300</v>
      </c>
      <c r="L200" s="287"/>
      <c r="M200" s="287"/>
      <c r="N200" s="287"/>
      <c r="O200" s="288">
        <v>548000</v>
      </c>
      <c r="P200" s="289">
        <f t="shared" ref="P200:P238" si="6">K200-L200+O200</f>
        <v>1457300</v>
      </c>
      <c r="Q200" s="283"/>
      <c r="R200" s="290"/>
      <c r="S200" s="291"/>
    </row>
    <row r="201" spans="1:19" ht="22.5" customHeight="1" x14ac:dyDescent="0.25">
      <c r="A201" s="283">
        <v>4357</v>
      </c>
      <c r="B201" s="284">
        <v>5213</v>
      </c>
      <c r="C201" s="284" t="s">
        <v>1058</v>
      </c>
      <c r="D201" s="284" t="s">
        <v>1059</v>
      </c>
      <c r="E201" s="285" t="s">
        <v>445</v>
      </c>
      <c r="F201" s="284">
        <v>7333919</v>
      </c>
      <c r="G201" s="286" t="s">
        <v>302</v>
      </c>
      <c r="H201" s="284">
        <v>1760206</v>
      </c>
      <c r="I201" s="285" t="s">
        <v>825</v>
      </c>
      <c r="J201" s="284"/>
      <c r="K201" s="287">
        <v>11460000</v>
      </c>
      <c r="L201" s="287"/>
      <c r="M201" s="287"/>
      <c r="N201" s="287"/>
      <c r="O201" s="288" t="s">
        <v>814</v>
      </c>
      <c r="P201" s="289">
        <f t="shared" si="6"/>
        <v>11460000</v>
      </c>
      <c r="Q201" s="283"/>
      <c r="R201" s="290"/>
      <c r="S201" s="291"/>
    </row>
    <row r="202" spans="1:19" ht="22.5" customHeight="1" x14ac:dyDescent="0.25">
      <c r="A202" s="283">
        <v>4350</v>
      </c>
      <c r="B202" s="284">
        <v>5213</v>
      </c>
      <c r="C202" s="284" t="s">
        <v>1058</v>
      </c>
      <c r="D202" s="284" t="s">
        <v>1059</v>
      </c>
      <c r="E202" s="285" t="s">
        <v>445</v>
      </c>
      <c r="F202" s="284">
        <v>7333919</v>
      </c>
      <c r="G202" s="286" t="s">
        <v>302</v>
      </c>
      <c r="H202" s="284">
        <v>9964505</v>
      </c>
      <c r="I202" s="285" t="s">
        <v>817</v>
      </c>
      <c r="J202" s="284"/>
      <c r="K202" s="287">
        <v>4593024</v>
      </c>
      <c r="L202" s="287"/>
      <c r="M202" s="287"/>
      <c r="N202" s="287"/>
      <c r="O202" s="288">
        <v>30976</v>
      </c>
      <c r="P202" s="289">
        <f t="shared" si="6"/>
        <v>4624000</v>
      </c>
      <c r="Q202" s="283"/>
      <c r="R202" s="290"/>
      <c r="S202" s="291"/>
    </row>
    <row r="203" spans="1:19" ht="15" customHeight="1" x14ac:dyDescent="0.25">
      <c r="A203" s="283">
        <v>4356</v>
      </c>
      <c r="B203" s="284">
        <v>5222</v>
      </c>
      <c r="C203" s="284" t="s">
        <v>1060</v>
      </c>
      <c r="D203" s="284" t="s">
        <v>1061</v>
      </c>
      <c r="E203" s="285" t="s">
        <v>446</v>
      </c>
      <c r="F203" s="284">
        <v>27010031</v>
      </c>
      <c r="G203" s="286" t="s">
        <v>288</v>
      </c>
      <c r="H203" s="284">
        <v>5792926</v>
      </c>
      <c r="I203" s="285" t="s">
        <v>828</v>
      </c>
      <c r="J203" s="284"/>
      <c r="K203" s="287">
        <v>1375288</v>
      </c>
      <c r="L203" s="287"/>
      <c r="M203" s="287"/>
      <c r="N203" s="287"/>
      <c r="O203" s="288" t="s">
        <v>814</v>
      </c>
      <c r="P203" s="289">
        <f t="shared" si="6"/>
        <v>1375288</v>
      </c>
      <c r="Q203" s="283"/>
      <c r="R203" s="290"/>
      <c r="S203" s="291"/>
    </row>
    <row r="204" spans="1:19" ht="15" customHeight="1" x14ac:dyDescent="0.25">
      <c r="A204" s="283">
        <v>4356</v>
      </c>
      <c r="B204" s="284">
        <v>5222</v>
      </c>
      <c r="C204" s="284" t="s">
        <v>1062</v>
      </c>
      <c r="D204" s="284" t="s">
        <v>1063</v>
      </c>
      <c r="E204" s="285" t="s">
        <v>447</v>
      </c>
      <c r="F204" s="284">
        <v>26671468</v>
      </c>
      <c r="G204" s="286" t="s">
        <v>288</v>
      </c>
      <c r="H204" s="284">
        <v>5091362</v>
      </c>
      <c r="I204" s="285" t="s">
        <v>828</v>
      </c>
      <c r="J204" s="284"/>
      <c r="K204" s="287">
        <v>1303880</v>
      </c>
      <c r="L204" s="287"/>
      <c r="M204" s="287"/>
      <c r="N204" s="287"/>
      <c r="O204" s="288" t="s">
        <v>814</v>
      </c>
      <c r="P204" s="289">
        <f t="shared" si="6"/>
        <v>1303880</v>
      </c>
      <c r="Q204" s="283"/>
      <c r="R204" s="290"/>
      <c r="S204" s="291"/>
    </row>
    <row r="205" spans="1:19" ht="15" customHeight="1" x14ac:dyDescent="0.25">
      <c r="A205" s="283">
        <v>4359</v>
      </c>
      <c r="B205" s="284">
        <v>5222</v>
      </c>
      <c r="C205" s="284" t="s">
        <v>1062</v>
      </c>
      <c r="D205" s="284" t="s">
        <v>1063</v>
      </c>
      <c r="E205" s="285" t="s">
        <v>447</v>
      </c>
      <c r="F205" s="284">
        <v>26671468</v>
      </c>
      <c r="G205" s="286" t="s">
        <v>288</v>
      </c>
      <c r="H205" s="284">
        <v>9321887</v>
      </c>
      <c r="I205" s="285" t="s">
        <v>818</v>
      </c>
      <c r="J205" s="284"/>
      <c r="K205" s="287">
        <v>2160000</v>
      </c>
      <c r="L205" s="287"/>
      <c r="M205" s="287"/>
      <c r="N205" s="287"/>
      <c r="O205" s="288" t="s">
        <v>814</v>
      </c>
      <c r="P205" s="289">
        <f t="shared" si="6"/>
        <v>2160000</v>
      </c>
      <c r="Q205" s="283"/>
      <c r="R205" s="290"/>
      <c r="S205" s="291"/>
    </row>
    <row r="206" spans="1:19" ht="22.5" customHeight="1" x14ac:dyDescent="0.25">
      <c r="A206" s="283">
        <v>4359</v>
      </c>
      <c r="B206" s="284">
        <v>5336</v>
      </c>
      <c r="C206" s="284" t="s">
        <v>1064</v>
      </c>
      <c r="D206" s="284" t="s">
        <v>1065</v>
      </c>
      <c r="E206" s="285" t="s">
        <v>448</v>
      </c>
      <c r="F206" s="284">
        <v>193771</v>
      </c>
      <c r="G206" s="286" t="s">
        <v>324</v>
      </c>
      <c r="H206" s="284">
        <v>3145588</v>
      </c>
      <c r="I206" s="285" t="s">
        <v>818</v>
      </c>
      <c r="J206" s="284"/>
      <c r="K206" s="287">
        <v>720000</v>
      </c>
      <c r="L206" s="287"/>
      <c r="M206" s="287"/>
      <c r="N206" s="287"/>
      <c r="O206" s="288" t="s">
        <v>814</v>
      </c>
      <c r="P206" s="289">
        <f t="shared" si="6"/>
        <v>720000</v>
      </c>
      <c r="Q206" s="283"/>
      <c r="R206" s="290"/>
      <c r="S206" s="291"/>
    </row>
    <row r="207" spans="1:19" ht="22.5" customHeight="1" x14ac:dyDescent="0.25">
      <c r="A207" s="283">
        <v>4356</v>
      </c>
      <c r="B207" s="284">
        <v>5336</v>
      </c>
      <c r="C207" s="284" t="s">
        <v>1064</v>
      </c>
      <c r="D207" s="284" t="s">
        <v>1065</v>
      </c>
      <c r="E207" s="285" t="s">
        <v>448</v>
      </c>
      <c r="F207" s="284">
        <v>193771</v>
      </c>
      <c r="G207" s="286" t="s">
        <v>324</v>
      </c>
      <c r="H207" s="284">
        <v>6266118</v>
      </c>
      <c r="I207" s="285" t="s">
        <v>822</v>
      </c>
      <c r="J207" s="284"/>
      <c r="K207" s="287">
        <v>1630903</v>
      </c>
      <c r="L207" s="287"/>
      <c r="M207" s="287"/>
      <c r="N207" s="287"/>
      <c r="O207" s="288" t="s">
        <v>814</v>
      </c>
      <c r="P207" s="289">
        <f t="shared" si="6"/>
        <v>1630903</v>
      </c>
      <c r="Q207" s="283"/>
      <c r="R207" s="290"/>
      <c r="S207" s="291"/>
    </row>
    <row r="208" spans="1:19" ht="22.5" customHeight="1" x14ac:dyDescent="0.25">
      <c r="A208" s="283">
        <v>4355</v>
      </c>
      <c r="B208" s="284">
        <v>5336</v>
      </c>
      <c r="C208" s="284" t="s">
        <v>1064</v>
      </c>
      <c r="D208" s="284" t="s">
        <v>1065</v>
      </c>
      <c r="E208" s="285" t="s">
        <v>448</v>
      </c>
      <c r="F208" s="284">
        <v>193771</v>
      </c>
      <c r="G208" s="286" t="s">
        <v>324</v>
      </c>
      <c r="H208" s="284">
        <v>7007714</v>
      </c>
      <c r="I208" s="285" t="s">
        <v>865</v>
      </c>
      <c r="J208" s="284"/>
      <c r="K208" s="287">
        <v>12129000</v>
      </c>
      <c r="L208" s="287"/>
      <c r="M208" s="287"/>
      <c r="N208" s="287"/>
      <c r="O208" s="288" t="s">
        <v>814</v>
      </c>
      <c r="P208" s="289">
        <f t="shared" si="6"/>
        <v>12129000</v>
      </c>
      <c r="Q208" s="283"/>
      <c r="R208" s="290"/>
      <c r="S208" s="291"/>
    </row>
    <row r="209" spans="1:19" ht="22.5" customHeight="1" x14ac:dyDescent="0.25">
      <c r="A209" s="283">
        <v>4351</v>
      </c>
      <c r="B209" s="284">
        <v>5321</v>
      </c>
      <c r="C209" s="284" t="s">
        <v>1066</v>
      </c>
      <c r="D209" s="284" t="s">
        <v>1067</v>
      </c>
      <c r="E209" s="285" t="s">
        <v>451</v>
      </c>
      <c r="F209" s="284">
        <v>72745339</v>
      </c>
      <c r="G209" s="286" t="s">
        <v>324</v>
      </c>
      <c r="H209" s="284">
        <v>1410170</v>
      </c>
      <c r="I209" s="285" t="s">
        <v>847</v>
      </c>
      <c r="J209" s="284"/>
      <c r="K209" s="287">
        <v>7814000</v>
      </c>
      <c r="L209" s="287"/>
      <c r="M209" s="287"/>
      <c r="N209" s="287"/>
      <c r="O209" s="288" t="s">
        <v>814</v>
      </c>
      <c r="P209" s="289">
        <f t="shared" si="6"/>
        <v>7814000</v>
      </c>
      <c r="Q209" s="283"/>
      <c r="R209" s="290"/>
      <c r="S209" s="291"/>
    </row>
    <row r="210" spans="1:19" ht="22.5" customHeight="1" x14ac:dyDescent="0.25">
      <c r="A210" s="283">
        <v>4374</v>
      </c>
      <c r="B210" s="284">
        <v>5321</v>
      </c>
      <c r="C210" s="284" t="s">
        <v>1066</v>
      </c>
      <c r="D210" s="284" t="s">
        <v>1067</v>
      </c>
      <c r="E210" s="285" t="s">
        <v>451</v>
      </c>
      <c r="F210" s="284">
        <v>72745339</v>
      </c>
      <c r="G210" s="286" t="s">
        <v>324</v>
      </c>
      <c r="H210" s="284">
        <v>6732891</v>
      </c>
      <c r="I210" s="285" t="s">
        <v>934</v>
      </c>
      <c r="J210" s="284"/>
      <c r="K210" s="287">
        <v>3052874</v>
      </c>
      <c r="L210" s="287"/>
      <c r="M210" s="287"/>
      <c r="N210" s="287"/>
      <c r="O210" s="288" t="s">
        <v>814</v>
      </c>
      <c r="P210" s="289">
        <f t="shared" si="6"/>
        <v>3052874</v>
      </c>
      <c r="Q210" s="283"/>
      <c r="R210" s="290"/>
      <c r="S210" s="291"/>
    </row>
    <row r="211" spans="1:19" ht="22.5" customHeight="1" x14ac:dyDescent="0.25">
      <c r="A211" s="283">
        <v>4374</v>
      </c>
      <c r="B211" s="284">
        <v>5321</v>
      </c>
      <c r="C211" s="284" t="s">
        <v>1066</v>
      </c>
      <c r="D211" s="284" t="s">
        <v>1067</v>
      </c>
      <c r="E211" s="285" t="s">
        <v>451</v>
      </c>
      <c r="F211" s="284">
        <v>72745339</v>
      </c>
      <c r="G211" s="286" t="s">
        <v>324</v>
      </c>
      <c r="H211" s="284">
        <v>8170444</v>
      </c>
      <c r="I211" s="285" t="s">
        <v>934</v>
      </c>
      <c r="J211" s="284"/>
      <c r="K211" s="287">
        <v>659000</v>
      </c>
      <c r="L211" s="287"/>
      <c r="M211" s="287"/>
      <c r="N211" s="287"/>
      <c r="O211" s="288" t="s">
        <v>814</v>
      </c>
      <c r="P211" s="289">
        <f t="shared" si="6"/>
        <v>659000</v>
      </c>
      <c r="Q211" s="283"/>
      <c r="R211" s="290"/>
      <c r="S211" s="291"/>
    </row>
    <row r="212" spans="1:19" ht="22.5" customHeight="1" x14ac:dyDescent="0.25">
      <c r="A212" s="283">
        <v>4350</v>
      </c>
      <c r="B212" s="284">
        <v>5321</v>
      </c>
      <c r="C212" s="284" t="s">
        <v>1066</v>
      </c>
      <c r="D212" s="284" t="s">
        <v>1067</v>
      </c>
      <c r="E212" s="285" t="s">
        <v>451</v>
      </c>
      <c r="F212" s="284">
        <v>72745339</v>
      </c>
      <c r="G212" s="286" t="s">
        <v>324</v>
      </c>
      <c r="H212" s="284">
        <v>8788790</v>
      </c>
      <c r="I212" s="285" t="s">
        <v>817</v>
      </c>
      <c r="J212" s="284"/>
      <c r="K212" s="287">
        <v>12870000</v>
      </c>
      <c r="L212" s="287"/>
      <c r="M212" s="287"/>
      <c r="N212" s="287"/>
      <c r="O212" s="288" t="s">
        <v>814</v>
      </c>
      <c r="P212" s="289">
        <f t="shared" si="6"/>
        <v>12870000</v>
      </c>
      <c r="Q212" s="283"/>
      <c r="R212" s="290"/>
      <c r="S212" s="291"/>
    </row>
    <row r="213" spans="1:19" ht="22.5" customHeight="1" x14ac:dyDescent="0.25">
      <c r="A213" s="283">
        <v>4356</v>
      </c>
      <c r="B213" s="284">
        <v>5321</v>
      </c>
      <c r="C213" s="284" t="s">
        <v>1068</v>
      </c>
      <c r="D213" s="284" t="s">
        <v>1069</v>
      </c>
      <c r="E213" s="285" t="s">
        <v>452</v>
      </c>
      <c r="F213" s="284">
        <v>48282910</v>
      </c>
      <c r="G213" s="286" t="s">
        <v>324</v>
      </c>
      <c r="H213" s="284">
        <v>2854766</v>
      </c>
      <c r="I213" s="285" t="s">
        <v>822</v>
      </c>
      <c r="J213" s="284"/>
      <c r="K213" s="287">
        <v>329000</v>
      </c>
      <c r="L213" s="287"/>
      <c r="M213" s="287"/>
      <c r="N213" s="287"/>
      <c r="O213" s="288" t="s">
        <v>814</v>
      </c>
      <c r="P213" s="289">
        <f t="shared" si="6"/>
        <v>329000</v>
      </c>
      <c r="Q213" s="283"/>
      <c r="R213" s="290"/>
      <c r="S213" s="291"/>
    </row>
    <row r="214" spans="1:19" ht="22.5" customHeight="1" x14ac:dyDescent="0.25">
      <c r="A214" s="283">
        <v>4351</v>
      </c>
      <c r="B214" s="284">
        <v>5321</v>
      </c>
      <c r="C214" s="284" t="s">
        <v>1068</v>
      </c>
      <c r="D214" s="284" t="s">
        <v>1069</v>
      </c>
      <c r="E214" s="285" t="s">
        <v>452</v>
      </c>
      <c r="F214" s="284">
        <v>48282910</v>
      </c>
      <c r="G214" s="286" t="s">
        <v>324</v>
      </c>
      <c r="H214" s="284">
        <v>4493554</v>
      </c>
      <c r="I214" s="285" t="s">
        <v>847</v>
      </c>
      <c r="J214" s="284"/>
      <c r="K214" s="287">
        <v>1143000</v>
      </c>
      <c r="L214" s="287"/>
      <c r="M214" s="287"/>
      <c r="N214" s="287"/>
      <c r="O214" s="288" t="s">
        <v>814</v>
      </c>
      <c r="P214" s="289">
        <f t="shared" si="6"/>
        <v>1143000</v>
      </c>
      <c r="Q214" s="283"/>
      <c r="R214" s="290"/>
      <c r="S214" s="291"/>
    </row>
    <row r="215" spans="1:19" ht="22.5" customHeight="1" x14ac:dyDescent="0.25">
      <c r="A215" s="283">
        <v>4350</v>
      </c>
      <c r="B215" s="284">
        <v>5321</v>
      </c>
      <c r="C215" s="284" t="s">
        <v>1068</v>
      </c>
      <c r="D215" s="284" t="s">
        <v>1069</v>
      </c>
      <c r="E215" s="285" t="s">
        <v>452</v>
      </c>
      <c r="F215" s="284">
        <v>48282910</v>
      </c>
      <c r="G215" s="286" t="s">
        <v>324</v>
      </c>
      <c r="H215" s="284">
        <v>8609487</v>
      </c>
      <c r="I215" s="285" t="s">
        <v>817</v>
      </c>
      <c r="J215" s="284"/>
      <c r="K215" s="287">
        <v>8683000</v>
      </c>
      <c r="L215" s="287"/>
      <c r="M215" s="287"/>
      <c r="N215" s="287"/>
      <c r="O215" s="288" t="s">
        <v>814</v>
      </c>
      <c r="P215" s="289">
        <f t="shared" si="6"/>
        <v>8683000</v>
      </c>
      <c r="Q215" s="283"/>
      <c r="R215" s="290"/>
      <c r="S215" s="291"/>
    </row>
    <row r="216" spans="1:19" ht="22.5" customHeight="1" x14ac:dyDescent="0.25">
      <c r="A216" s="283">
        <v>4350</v>
      </c>
      <c r="B216" s="284">
        <v>5321</v>
      </c>
      <c r="C216" s="284" t="s">
        <v>1070</v>
      </c>
      <c r="D216" s="284" t="s">
        <v>1071</v>
      </c>
      <c r="E216" s="285" t="s">
        <v>453</v>
      </c>
      <c r="F216" s="284">
        <v>48282901</v>
      </c>
      <c r="G216" s="286" t="s">
        <v>324</v>
      </c>
      <c r="H216" s="284">
        <v>3625295</v>
      </c>
      <c r="I216" s="285" t="s">
        <v>817</v>
      </c>
      <c r="J216" s="284"/>
      <c r="K216" s="287">
        <v>12206040</v>
      </c>
      <c r="L216" s="287"/>
      <c r="M216" s="287"/>
      <c r="N216" s="287"/>
      <c r="O216" s="288" t="s">
        <v>814</v>
      </c>
      <c r="P216" s="289">
        <f t="shared" si="6"/>
        <v>12206040</v>
      </c>
      <c r="Q216" s="283"/>
      <c r="R216" s="290"/>
      <c r="S216" s="291"/>
    </row>
    <row r="217" spans="1:19" ht="22.5" customHeight="1" x14ac:dyDescent="0.25">
      <c r="A217" s="283">
        <v>4351</v>
      </c>
      <c r="B217" s="284">
        <v>5321</v>
      </c>
      <c r="C217" s="284" t="s">
        <v>1070</v>
      </c>
      <c r="D217" s="284" t="s">
        <v>1071</v>
      </c>
      <c r="E217" s="285" t="s">
        <v>453</v>
      </c>
      <c r="F217" s="284">
        <v>48282901</v>
      </c>
      <c r="G217" s="286" t="s">
        <v>324</v>
      </c>
      <c r="H217" s="284">
        <v>6836867</v>
      </c>
      <c r="I217" s="285" t="s">
        <v>847</v>
      </c>
      <c r="J217" s="284"/>
      <c r="K217" s="287">
        <v>3650000</v>
      </c>
      <c r="L217" s="287"/>
      <c r="M217" s="287"/>
      <c r="N217" s="287"/>
      <c r="O217" s="288" t="s">
        <v>814</v>
      </c>
      <c r="P217" s="289">
        <f t="shared" si="6"/>
        <v>3650000</v>
      </c>
      <c r="Q217" s="283"/>
      <c r="R217" s="290"/>
      <c r="S217" s="291"/>
    </row>
    <row r="218" spans="1:19" ht="22.5" customHeight="1" x14ac:dyDescent="0.25">
      <c r="A218" s="283">
        <v>4356</v>
      </c>
      <c r="B218" s="284">
        <v>5321</v>
      </c>
      <c r="C218" s="284" t="s">
        <v>1072</v>
      </c>
      <c r="D218" s="284" t="s">
        <v>1073</v>
      </c>
      <c r="E218" s="285" t="s">
        <v>454</v>
      </c>
      <c r="F218" s="284">
        <v>75143861</v>
      </c>
      <c r="G218" s="286" t="s">
        <v>324</v>
      </c>
      <c r="H218" s="284">
        <v>1280179</v>
      </c>
      <c r="I218" s="285" t="s">
        <v>822</v>
      </c>
      <c r="J218" s="284"/>
      <c r="K218" s="287">
        <v>250000</v>
      </c>
      <c r="L218" s="287"/>
      <c r="M218" s="287"/>
      <c r="N218" s="287"/>
      <c r="O218" s="288" t="s">
        <v>814</v>
      </c>
      <c r="P218" s="289">
        <f t="shared" si="6"/>
        <v>250000</v>
      </c>
      <c r="Q218" s="283"/>
      <c r="R218" s="290"/>
      <c r="S218" s="291"/>
    </row>
    <row r="219" spans="1:19" ht="22.5" customHeight="1" x14ac:dyDescent="0.25">
      <c r="A219" s="283">
        <v>4312</v>
      </c>
      <c r="B219" s="284">
        <v>5321</v>
      </c>
      <c r="C219" s="284" t="s">
        <v>1072</v>
      </c>
      <c r="D219" s="284" t="s">
        <v>1073</v>
      </c>
      <c r="E219" s="285" t="s">
        <v>454</v>
      </c>
      <c r="F219" s="284">
        <v>75143861</v>
      </c>
      <c r="G219" s="286" t="s">
        <v>324</v>
      </c>
      <c r="H219" s="284">
        <v>4290863</v>
      </c>
      <c r="I219" s="285" t="s">
        <v>813</v>
      </c>
      <c r="J219" s="284"/>
      <c r="K219" s="287">
        <v>588000</v>
      </c>
      <c r="L219" s="287"/>
      <c r="M219" s="287"/>
      <c r="N219" s="287"/>
      <c r="O219" s="288" t="s">
        <v>814</v>
      </c>
      <c r="P219" s="289">
        <f t="shared" si="6"/>
        <v>588000</v>
      </c>
      <c r="Q219" s="283"/>
      <c r="R219" s="290"/>
      <c r="S219" s="291"/>
    </row>
    <row r="220" spans="1:19" ht="22.5" customHeight="1" x14ac:dyDescent="0.25">
      <c r="A220" s="283">
        <v>4351</v>
      </c>
      <c r="B220" s="284">
        <v>5321</v>
      </c>
      <c r="C220" s="284" t="s">
        <v>1072</v>
      </c>
      <c r="D220" s="284" t="s">
        <v>1073</v>
      </c>
      <c r="E220" s="285" t="s">
        <v>454</v>
      </c>
      <c r="F220" s="284">
        <v>75143861</v>
      </c>
      <c r="G220" s="286" t="s">
        <v>324</v>
      </c>
      <c r="H220" s="284">
        <v>7901485</v>
      </c>
      <c r="I220" s="285" t="s">
        <v>847</v>
      </c>
      <c r="J220" s="284"/>
      <c r="K220" s="287">
        <v>5000000</v>
      </c>
      <c r="L220" s="287"/>
      <c r="M220" s="287"/>
      <c r="N220" s="287"/>
      <c r="O220" s="288" t="s">
        <v>814</v>
      </c>
      <c r="P220" s="289">
        <f t="shared" si="6"/>
        <v>5000000</v>
      </c>
      <c r="Q220" s="283"/>
      <c r="R220" s="290"/>
      <c r="S220" s="291"/>
    </row>
    <row r="221" spans="1:19" ht="22.5" customHeight="1" x14ac:dyDescent="0.25">
      <c r="A221" s="283">
        <v>4357</v>
      </c>
      <c r="B221" s="284">
        <v>5321</v>
      </c>
      <c r="C221" s="284" t="s">
        <v>1074</v>
      </c>
      <c r="D221" s="284" t="s">
        <v>1075</v>
      </c>
      <c r="E221" s="285" t="s">
        <v>455</v>
      </c>
      <c r="F221" s="284">
        <v>854930</v>
      </c>
      <c r="G221" s="286" t="s">
        <v>324</v>
      </c>
      <c r="H221" s="284">
        <v>2308616</v>
      </c>
      <c r="I221" s="285" t="s">
        <v>825</v>
      </c>
      <c r="J221" s="284"/>
      <c r="K221" s="287">
        <v>13492000</v>
      </c>
      <c r="L221" s="287"/>
      <c r="M221" s="287"/>
      <c r="N221" s="287"/>
      <c r="O221" s="288" t="s">
        <v>814</v>
      </c>
      <c r="P221" s="289">
        <f t="shared" si="6"/>
        <v>13492000</v>
      </c>
      <c r="Q221" s="283"/>
      <c r="R221" s="290"/>
      <c r="S221" s="291"/>
    </row>
    <row r="222" spans="1:19" ht="22.5" customHeight="1" x14ac:dyDescent="0.25">
      <c r="A222" s="283">
        <v>4350</v>
      </c>
      <c r="B222" s="284">
        <v>5321</v>
      </c>
      <c r="C222" s="284" t="s">
        <v>1074</v>
      </c>
      <c r="D222" s="284" t="s">
        <v>1075</v>
      </c>
      <c r="E222" s="285" t="s">
        <v>455</v>
      </c>
      <c r="F222" s="284">
        <v>854930</v>
      </c>
      <c r="G222" s="286" t="s">
        <v>324</v>
      </c>
      <c r="H222" s="284">
        <v>3732526</v>
      </c>
      <c r="I222" s="285" t="s">
        <v>817</v>
      </c>
      <c r="J222" s="284"/>
      <c r="K222" s="287">
        <v>11809000</v>
      </c>
      <c r="L222" s="287"/>
      <c r="M222" s="287"/>
      <c r="N222" s="287"/>
      <c r="O222" s="288" t="s">
        <v>814</v>
      </c>
      <c r="P222" s="289">
        <f t="shared" si="6"/>
        <v>11809000</v>
      </c>
      <c r="Q222" s="283"/>
      <c r="R222" s="290"/>
      <c r="S222" s="291"/>
    </row>
    <row r="223" spans="1:19" ht="22.5" customHeight="1" x14ac:dyDescent="0.25">
      <c r="A223" s="283">
        <v>4351</v>
      </c>
      <c r="B223" s="284">
        <v>5321</v>
      </c>
      <c r="C223" s="284" t="s">
        <v>1074</v>
      </c>
      <c r="D223" s="284" t="s">
        <v>1075</v>
      </c>
      <c r="E223" s="285" t="s">
        <v>455</v>
      </c>
      <c r="F223" s="284">
        <v>854930</v>
      </c>
      <c r="G223" s="286" t="s">
        <v>324</v>
      </c>
      <c r="H223" s="284">
        <v>3949768</v>
      </c>
      <c r="I223" s="285" t="s">
        <v>847</v>
      </c>
      <c r="J223" s="284"/>
      <c r="K223" s="287">
        <v>2602000</v>
      </c>
      <c r="L223" s="287"/>
      <c r="M223" s="287"/>
      <c r="N223" s="287"/>
      <c r="O223" s="288" t="s">
        <v>814</v>
      </c>
      <c r="P223" s="289">
        <f t="shared" si="6"/>
        <v>2602000</v>
      </c>
      <c r="Q223" s="283"/>
      <c r="R223" s="290"/>
      <c r="S223" s="291"/>
    </row>
    <row r="224" spans="1:19" ht="15" customHeight="1" x14ac:dyDescent="0.25">
      <c r="A224" s="283">
        <v>4359</v>
      </c>
      <c r="B224" s="284">
        <v>5221</v>
      </c>
      <c r="C224" s="284" t="s">
        <v>1076</v>
      </c>
      <c r="D224" s="284" t="s">
        <v>1077</v>
      </c>
      <c r="E224" s="285" t="s">
        <v>149</v>
      </c>
      <c r="F224" s="284">
        <v>29043913</v>
      </c>
      <c r="G224" s="286" t="s">
        <v>318</v>
      </c>
      <c r="H224" s="284">
        <v>5968921</v>
      </c>
      <c r="I224" s="285" t="s">
        <v>818</v>
      </c>
      <c r="J224" s="284"/>
      <c r="K224" s="287">
        <v>805440</v>
      </c>
      <c r="L224" s="287"/>
      <c r="M224" s="287"/>
      <c r="N224" s="287"/>
      <c r="O224" s="288">
        <v>195850</v>
      </c>
      <c r="P224" s="289">
        <f t="shared" si="6"/>
        <v>1001290</v>
      </c>
      <c r="Q224" s="283"/>
      <c r="R224" s="290"/>
      <c r="S224" s="291"/>
    </row>
    <row r="225" spans="1:19" ht="15" customHeight="1" x14ac:dyDescent="0.25">
      <c r="A225" s="283">
        <v>4351</v>
      </c>
      <c r="B225" s="284">
        <v>5221</v>
      </c>
      <c r="C225" s="284" t="s">
        <v>1076</v>
      </c>
      <c r="D225" s="284" t="s">
        <v>1077</v>
      </c>
      <c r="E225" s="285" t="s">
        <v>149</v>
      </c>
      <c r="F225" s="284">
        <v>29043913</v>
      </c>
      <c r="G225" s="286" t="s">
        <v>318</v>
      </c>
      <c r="H225" s="284">
        <v>7143232</v>
      </c>
      <c r="I225" s="285" t="s">
        <v>844</v>
      </c>
      <c r="J225" s="284"/>
      <c r="K225" s="287">
        <v>4492499</v>
      </c>
      <c r="L225" s="287"/>
      <c r="M225" s="287"/>
      <c r="N225" s="287"/>
      <c r="O225" s="288">
        <v>1887692</v>
      </c>
      <c r="P225" s="289">
        <f t="shared" si="6"/>
        <v>6380191</v>
      </c>
      <c r="Q225" s="283"/>
      <c r="R225" s="290"/>
      <c r="S225" s="291"/>
    </row>
    <row r="226" spans="1:19" ht="15" customHeight="1" x14ac:dyDescent="0.25">
      <c r="A226" s="283">
        <v>4351</v>
      </c>
      <c r="B226" s="284">
        <v>5221</v>
      </c>
      <c r="C226" s="284" t="s">
        <v>1076</v>
      </c>
      <c r="D226" s="284" t="s">
        <v>1077</v>
      </c>
      <c r="E226" s="285" t="s">
        <v>149</v>
      </c>
      <c r="F226" s="284">
        <v>29043913</v>
      </c>
      <c r="G226" s="286" t="s">
        <v>318</v>
      </c>
      <c r="H226" s="284">
        <v>7253089</v>
      </c>
      <c r="I226" s="285" t="s">
        <v>847</v>
      </c>
      <c r="J226" s="284"/>
      <c r="K226" s="287">
        <v>1927800</v>
      </c>
      <c r="L226" s="287"/>
      <c r="M226" s="287"/>
      <c r="N226" s="287"/>
      <c r="O226" s="288">
        <v>749450</v>
      </c>
      <c r="P226" s="289">
        <f t="shared" si="6"/>
        <v>2677250</v>
      </c>
      <c r="Q226" s="283"/>
      <c r="R226" s="290"/>
      <c r="S226" s="291"/>
    </row>
    <row r="227" spans="1:19" ht="15" customHeight="1" x14ac:dyDescent="0.25">
      <c r="A227" s="283">
        <v>4351</v>
      </c>
      <c r="B227" s="284">
        <v>5221</v>
      </c>
      <c r="C227" s="284" t="s">
        <v>1078</v>
      </c>
      <c r="D227" s="284" t="s">
        <v>1079</v>
      </c>
      <c r="E227" s="285" t="s">
        <v>61</v>
      </c>
      <c r="F227" s="284">
        <v>27291049</v>
      </c>
      <c r="G227" s="286" t="s">
        <v>267</v>
      </c>
      <c r="H227" s="284">
        <v>4353078</v>
      </c>
      <c r="I227" s="285" t="s">
        <v>922</v>
      </c>
      <c r="J227" s="284"/>
      <c r="K227" s="287">
        <v>2492947</v>
      </c>
      <c r="L227" s="292">
        <v>1495768</v>
      </c>
      <c r="M227" s="292">
        <v>997179</v>
      </c>
      <c r="N227" s="292">
        <f>L227+M227</f>
        <v>2492947</v>
      </c>
      <c r="O227" s="288" t="s">
        <v>814</v>
      </c>
      <c r="P227" s="289">
        <f>K227-L227-M227+O227</f>
        <v>0</v>
      </c>
      <c r="Q227" s="283"/>
      <c r="R227" s="290"/>
      <c r="S227" s="291"/>
    </row>
    <row r="228" spans="1:19" ht="15" customHeight="1" x14ac:dyDescent="0.25">
      <c r="A228" s="283">
        <v>4354</v>
      </c>
      <c r="B228" s="284">
        <v>5221</v>
      </c>
      <c r="C228" s="284" t="s">
        <v>1078</v>
      </c>
      <c r="D228" s="284" t="s">
        <v>1079</v>
      </c>
      <c r="E228" s="285" t="s">
        <v>61</v>
      </c>
      <c r="F228" s="284">
        <v>27291049</v>
      </c>
      <c r="G228" s="286" t="s">
        <v>267</v>
      </c>
      <c r="H228" s="284">
        <v>5227172</v>
      </c>
      <c r="I228" s="285" t="s">
        <v>875</v>
      </c>
      <c r="J228" s="284"/>
      <c r="K228" s="287">
        <v>8352000</v>
      </c>
      <c r="L228" s="287"/>
      <c r="M228" s="287"/>
      <c r="N228" s="287"/>
      <c r="O228" s="288">
        <v>1765000</v>
      </c>
      <c r="P228" s="289">
        <f t="shared" si="6"/>
        <v>10117000</v>
      </c>
      <c r="Q228" s="283"/>
      <c r="R228" s="290"/>
      <c r="S228" s="291"/>
    </row>
    <row r="229" spans="1:19" ht="15" customHeight="1" x14ac:dyDescent="0.25">
      <c r="A229" s="283">
        <v>4377</v>
      </c>
      <c r="B229" s="284">
        <v>5221</v>
      </c>
      <c r="C229" s="284" t="s">
        <v>1078</v>
      </c>
      <c r="D229" s="284" t="s">
        <v>1079</v>
      </c>
      <c r="E229" s="285" t="s">
        <v>61</v>
      </c>
      <c r="F229" s="284">
        <v>27291049</v>
      </c>
      <c r="G229" s="286" t="s">
        <v>267</v>
      </c>
      <c r="H229" s="284">
        <v>6650186</v>
      </c>
      <c r="I229" s="285" t="s">
        <v>874</v>
      </c>
      <c r="J229" s="284"/>
      <c r="K229" s="287">
        <v>2023071</v>
      </c>
      <c r="L229" s="292">
        <v>1213843</v>
      </c>
      <c r="M229" s="292">
        <v>809228</v>
      </c>
      <c r="N229" s="292">
        <f>L229+M229</f>
        <v>2023071</v>
      </c>
      <c r="O229" s="288" t="s">
        <v>814</v>
      </c>
      <c r="P229" s="289">
        <f>K229-L229-M229+O229</f>
        <v>0</v>
      </c>
      <c r="Q229" s="283"/>
      <c r="R229" s="290"/>
      <c r="S229" s="291"/>
    </row>
    <row r="230" spans="1:19" ht="22.5" customHeight="1" x14ac:dyDescent="0.25">
      <c r="A230" s="283">
        <v>4379</v>
      </c>
      <c r="B230" s="284">
        <v>5221</v>
      </c>
      <c r="C230" s="284" t="s">
        <v>1080</v>
      </c>
      <c r="D230" s="284" t="s">
        <v>1081</v>
      </c>
      <c r="E230" s="285" t="s">
        <v>1082</v>
      </c>
      <c r="F230" s="284">
        <v>25475894</v>
      </c>
      <c r="G230" s="286" t="s">
        <v>318</v>
      </c>
      <c r="H230" s="284">
        <v>2954592</v>
      </c>
      <c r="I230" s="285" t="s">
        <v>854</v>
      </c>
      <c r="J230" s="284"/>
      <c r="K230" s="287">
        <v>1043280</v>
      </c>
      <c r="L230" s="287"/>
      <c r="M230" s="287"/>
      <c r="N230" s="287"/>
      <c r="O230" s="288">
        <v>349051</v>
      </c>
      <c r="P230" s="289">
        <f t="shared" si="6"/>
        <v>1392331</v>
      </c>
      <c r="Q230" s="283"/>
      <c r="R230" s="290"/>
      <c r="S230" s="291"/>
    </row>
    <row r="231" spans="1:19" ht="22.5" customHeight="1" x14ac:dyDescent="0.25">
      <c r="A231" s="283">
        <v>4353</v>
      </c>
      <c r="B231" s="284">
        <v>5221</v>
      </c>
      <c r="C231" s="284" t="s">
        <v>1080</v>
      </c>
      <c r="D231" s="284" t="s">
        <v>1081</v>
      </c>
      <c r="E231" s="285" t="s">
        <v>1082</v>
      </c>
      <c r="F231" s="284">
        <v>25475894</v>
      </c>
      <c r="G231" s="286" t="s">
        <v>318</v>
      </c>
      <c r="H231" s="284">
        <v>5293407</v>
      </c>
      <c r="I231" s="285" t="s">
        <v>1083</v>
      </c>
      <c r="J231" s="284"/>
      <c r="K231" s="287">
        <v>259796</v>
      </c>
      <c r="L231" s="287"/>
      <c r="M231" s="287"/>
      <c r="N231" s="287"/>
      <c r="O231" s="288">
        <v>71403</v>
      </c>
      <c r="P231" s="289">
        <f t="shared" si="6"/>
        <v>331199</v>
      </c>
      <c r="Q231" s="283"/>
      <c r="R231" s="290"/>
      <c r="S231" s="291"/>
    </row>
    <row r="232" spans="1:19" ht="15" customHeight="1" x14ac:dyDescent="0.25">
      <c r="A232" s="283">
        <v>4344</v>
      </c>
      <c r="B232" s="284">
        <v>5221</v>
      </c>
      <c r="C232" s="284" t="s">
        <v>1080</v>
      </c>
      <c r="D232" s="284" t="s">
        <v>1081</v>
      </c>
      <c r="E232" s="285" t="s">
        <v>1082</v>
      </c>
      <c r="F232" s="284">
        <v>25475894</v>
      </c>
      <c r="G232" s="286" t="s">
        <v>318</v>
      </c>
      <c r="H232" s="284">
        <v>8340162</v>
      </c>
      <c r="I232" s="285" t="s">
        <v>869</v>
      </c>
      <c r="J232" s="284"/>
      <c r="K232" s="287">
        <v>976320</v>
      </c>
      <c r="L232" s="287"/>
      <c r="M232" s="287"/>
      <c r="N232" s="287"/>
      <c r="O232" s="288">
        <v>209100</v>
      </c>
      <c r="P232" s="289">
        <f t="shared" si="6"/>
        <v>1185420</v>
      </c>
      <c r="Q232" s="283"/>
      <c r="R232" s="290"/>
      <c r="S232" s="291"/>
    </row>
    <row r="233" spans="1:19" ht="15" customHeight="1" x14ac:dyDescent="0.25">
      <c r="A233" s="283">
        <v>4351</v>
      </c>
      <c r="B233" s="284">
        <v>5213</v>
      </c>
      <c r="C233" s="284" t="s">
        <v>1084</v>
      </c>
      <c r="D233" s="284" t="s">
        <v>1085</v>
      </c>
      <c r="E233" s="285" t="s">
        <v>460</v>
      </c>
      <c r="F233" s="284">
        <v>3781224</v>
      </c>
      <c r="G233" s="286" t="s">
        <v>302</v>
      </c>
      <c r="H233" s="284">
        <v>5773192</v>
      </c>
      <c r="I233" s="285" t="s">
        <v>847</v>
      </c>
      <c r="J233" s="284"/>
      <c r="K233" s="287">
        <v>3385620</v>
      </c>
      <c r="L233" s="287"/>
      <c r="M233" s="287"/>
      <c r="N233" s="287"/>
      <c r="O233" s="288" t="s">
        <v>814</v>
      </c>
      <c r="P233" s="289">
        <f t="shared" si="6"/>
        <v>3385620</v>
      </c>
      <c r="Q233" s="283"/>
      <c r="R233" s="290"/>
      <c r="S233" s="291"/>
    </row>
    <row r="234" spans="1:19" ht="22.5" customHeight="1" x14ac:dyDescent="0.25">
      <c r="A234" s="283">
        <v>4359</v>
      </c>
      <c r="B234" s="284">
        <v>5321</v>
      </c>
      <c r="C234" s="284" t="s">
        <v>1086</v>
      </c>
      <c r="D234" s="284" t="s">
        <v>1087</v>
      </c>
      <c r="E234" s="285" t="s">
        <v>1088</v>
      </c>
      <c r="F234" s="284">
        <v>854883</v>
      </c>
      <c r="G234" s="286" t="s">
        <v>324</v>
      </c>
      <c r="H234" s="284">
        <v>3368051</v>
      </c>
      <c r="I234" s="285" t="s">
        <v>818</v>
      </c>
      <c r="J234" s="284"/>
      <c r="K234" s="287">
        <v>1800000</v>
      </c>
      <c r="L234" s="287"/>
      <c r="M234" s="287"/>
      <c r="N234" s="287"/>
      <c r="O234" s="288" t="s">
        <v>814</v>
      </c>
      <c r="P234" s="289">
        <f t="shared" si="6"/>
        <v>1800000</v>
      </c>
      <c r="Q234" s="283"/>
      <c r="R234" s="290"/>
      <c r="S234" s="291"/>
    </row>
    <row r="235" spans="1:19" ht="22.5" customHeight="1" x14ac:dyDescent="0.25">
      <c r="A235" s="283">
        <v>4350</v>
      </c>
      <c r="B235" s="284">
        <v>5321</v>
      </c>
      <c r="C235" s="284" t="s">
        <v>1086</v>
      </c>
      <c r="D235" s="284" t="s">
        <v>1087</v>
      </c>
      <c r="E235" s="285" t="s">
        <v>1088</v>
      </c>
      <c r="F235" s="284">
        <v>854883</v>
      </c>
      <c r="G235" s="286" t="s">
        <v>324</v>
      </c>
      <c r="H235" s="284">
        <v>4234054</v>
      </c>
      <c r="I235" s="285" t="s">
        <v>817</v>
      </c>
      <c r="J235" s="284"/>
      <c r="K235" s="287">
        <v>15094000</v>
      </c>
      <c r="L235" s="287"/>
      <c r="M235" s="287"/>
      <c r="N235" s="287"/>
      <c r="O235" s="288" t="s">
        <v>814</v>
      </c>
      <c r="P235" s="289">
        <f t="shared" si="6"/>
        <v>15094000</v>
      </c>
      <c r="Q235" s="283"/>
      <c r="R235" s="290"/>
      <c r="S235" s="291"/>
    </row>
    <row r="236" spans="1:19" ht="22.5" customHeight="1" x14ac:dyDescent="0.25">
      <c r="A236" s="283">
        <v>4351</v>
      </c>
      <c r="B236" s="284">
        <v>5321</v>
      </c>
      <c r="C236" s="284" t="s">
        <v>1086</v>
      </c>
      <c r="D236" s="284" t="s">
        <v>1087</v>
      </c>
      <c r="E236" s="285" t="s">
        <v>1088</v>
      </c>
      <c r="F236" s="284">
        <v>854883</v>
      </c>
      <c r="G236" s="286" t="s">
        <v>324</v>
      </c>
      <c r="H236" s="284">
        <v>8719331</v>
      </c>
      <c r="I236" s="285" t="s">
        <v>847</v>
      </c>
      <c r="J236" s="284"/>
      <c r="K236" s="287">
        <v>8628000</v>
      </c>
      <c r="L236" s="287"/>
      <c r="M236" s="287"/>
      <c r="N236" s="287"/>
      <c r="O236" s="288" t="s">
        <v>814</v>
      </c>
      <c r="P236" s="289">
        <f t="shared" si="6"/>
        <v>8628000</v>
      </c>
      <c r="Q236" s="283"/>
      <c r="R236" s="290"/>
      <c r="S236" s="291"/>
    </row>
    <row r="237" spans="1:19" ht="22.5" customHeight="1" x14ac:dyDescent="0.25">
      <c r="A237" s="283">
        <v>4357</v>
      </c>
      <c r="B237" s="284">
        <v>5321</v>
      </c>
      <c r="C237" s="284" t="s">
        <v>1086</v>
      </c>
      <c r="D237" s="284" t="s">
        <v>1087</v>
      </c>
      <c r="E237" s="285" t="s">
        <v>1088</v>
      </c>
      <c r="F237" s="284">
        <v>854883</v>
      </c>
      <c r="G237" s="286" t="s">
        <v>324</v>
      </c>
      <c r="H237" s="284">
        <v>9274680</v>
      </c>
      <c r="I237" s="285" t="s">
        <v>825</v>
      </c>
      <c r="J237" s="284"/>
      <c r="K237" s="287">
        <v>7118000</v>
      </c>
      <c r="L237" s="287"/>
      <c r="M237" s="287"/>
      <c r="N237" s="287"/>
      <c r="O237" s="288" t="s">
        <v>814</v>
      </c>
      <c r="P237" s="289">
        <f t="shared" si="6"/>
        <v>7118000</v>
      </c>
      <c r="Q237" s="283"/>
      <c r="R237" s="290"/>
      <c r="S237" s="291"/>
    </row>
    <row r="238" spans="1:19" ht="22.5" customHeight="1" thickBot="1" x14ac:dyDescent="0.3">
      <c r="A238" s="293">
        <v>4356</v>
      </c>
      <c r="B238" s="294">
        <v>5321</v>
      </c>
      <c r="C238" s="294" t="s">
        <v>1086</v>
      </c>
      <c r="D238" s="294" t="s">
        <v>1087</v>
      </c>
      <c r="E238" s="295" t="s">
        <v>1088</v>
      </c>
      <c r="F238" s="294">
        <v>854883</v>
      </c>
      <c r="G238" s="296" t="s">
        <v>324</v>
      </c>
      <c r="H238" s="294">
        <v>9313088</v>
      </c>
      <c r="I238" s="295" t="s">
        <v>828</v>
      </c>
      <c r="J238" s="294"/>
      <c r="K238" s="297">
        <v>1004000</v>
      </c>
      <c r="L238" s="297"/>
      <c r="M238" s="297"/>
      <c r="N238" s="297"/>
      <c r="O238" s="298" t="s">
        <v>814</v>
      </c>
      <c r="P238" s="299">
        <f t="shared" si="6"/>
        <v>1004000</v>
      </c>
      <c r="Q238" s="293"/>
      <c r="R238" s="300"/>
      <c r="S238" s="301"/>
    </row>
  </sheetData>
  <autoFilter ref="A5:S238" xr:uid="{DEF19890-F4D9-443D-B9C0-521367C42FBF}"/>
  <mergeCells count="1">
    <mergeCell ref="Q2:R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1C0F-BB05-4985-A52C-5CAB638E9419}">
  <dimension ref="A1:J246"/>
  <sheetViews>
    <sheetView workbookViewId="0">
      <selection activeCell="F3" sqref="F3"/>
    </sheetView>
  </sheetViews>
  <sheetFormatPr defaultRowHeight="15" x14ac:dyDescent="0.25"/>
  <sheetData>
    <row r="1" spans="1:10" ht="21.75" thickBot="1" x14ac:dyDescent="0.3">
      <c r="A1" t="s">
        <v>491</v>
      </c>
      <c r="B1" s="82" t="s">
        <v>239</v>
      </c>
      <c r="C1" t="s">
        <v>241</v>
      </c>
      <c r="D1" s="82" t="s">
        <v>242</v>
      </c>
      <c r="H1" t="s">
        <v>492</v>
      </c>
      <c r="I1" t="s">
        <v>493</v>
      </c>
      <c r="J1" t="s">
        <v>494</v>
      </c>
    </row>
    <row r="2" spans="1:10" x14ac:dyDescent="0.25">
      <c r="A2">
        <v>1020591</v>
      </c>
      <c r="B2" s="78" t="s">
        <v>288</v>
      </c>
      <c r="C2" t="s">
        <v>409</v>
      </c>
      <c r="D2" s="78" t="s">
        <v>269</v>
      </c>
      <c r="H2">
        <v>1020591</v>
      </c>
      <c r="I2">
        <v>2.65</v>
      </c>
      <c r="J2">
        <v>0</v>
      </c>
    </row>
    <row r="3" spans="1:10" x14ac:dyDescent="0.25">
      <c r="A3">
        <v>1129034</v>
      </c>
      <c r="B3" s="11" t="s">
        <v>379</v>
      </c>
      <c r="C3" t="s">
        <v>325</v>
      </c>
      <c r="D3" s="11" t="s">
        <v>294</v>
      </c>
      <c r="H3">
        <v>1129034</v>
      </c>
      <c r="I3">
        <v>6.6</v>
      </c>
      <c r="J3">
        <v>0</v>
      </c>
    </row>
    <row r="4" spans="1:10" ht="31.5" x14ac:dyDescent="0.25">
      <c r="A4">
        <v>1161877</v>
      </c>
      <c r="B4" s="11" t="s">
        <v>318</v>
      </c>
      <c r="C4" t="s">
        <v>331</v>
      </c>
      <c r="D4" s="11" t="s">
        <v>294</v>
      </c>
      <c r="H4">
        <v>1161877</v>
      </c>
      <c r="I4">
        <v>9.6</v>
      </c>
      <c r="J4">
        <v>0</v>
      </c>
    </row>
    <row r="5" spans="1:10" ht="21" x14ac:dyDescent="0.25">
      <c r="A5">
        <v>1201824</v>
      </c>
      <c r="B5" s="11" t="s">
        <v>374</v>
      </c>
      <c r="C5" t="s">
        <v>337</v>
      </c>
      <c r="D5" s="11" t="s">
        <v>278</v>
      </c>
      <c r="H5">
        <v>1201824</v>
      </c>
      <c r="I5">
        <v>0.6</v>
      </c>
      <c r="J5">
        <v>2</v>
      </c>
    </row>
    <row r="6" spans="1:10" x14ac:dyDescent="0.25">
      <c r="A6">
        <v>1220799</v>
      </c>
      <c r="B6" s="11" t="s">
        <v>288</v>
      </c>
      <c r="C6" t="s">
        <v>406</v>
      </c>
      <c r="D6" s="11" t="s">
        <v>278</v>
      </c>
      <c r="H6">
        <v>1220799</v>
      </c>
      <c r="I6">
        <v>4.09</v>
      </c>
      <c r="J6">
        <v>10</v>
      </c>
    </row>
    <row r="7" spans="1:10" ht="31.5" x14ac:dyDescent="0.25">
      <c r="A7">
        <v>1226991</v>
      </c>
      <c r="B7" s="11" t="s">
        <v>318</v>
      </c>
      <c r="C7" t="s">
        <v>290</v>
      </c>
      <c r="D7" s="11" t="s">
        <v>278</v>
      </c>
      <c r="H7">
        <v>1226991</v>
      </c>
      <c r="I7">
        <v>9</v>
      </c>
      <c r="J7">
        <v>9</v>
      </c>
    </row>
    <row r="8" spans="1:10" x14ac:dyDescent="0.25">
      <c r="A8">
        <v>1229581</v>
      </c>
      <c r="B8" s="11" t="s">
        <v>288</v>
      </c>
      <c r="C8" t="s">
        <v>407</v>
      </c>
      <c r="D8" s="11" t="s">
        <v>269</v>
      </c>
      <c r="H8">
        <v>1229581</v>
      </c>
      <c r="I8">
        <v>6</v>
      </c>
      <c r="J8">
        <v>0</v>
      </c>
    </row>
    <row r="9" spans="1:10" ht="21" x14ac:dyDescent="0.25">
      <c r="A9" s="85">
        <v>1273599</v>
      </c>
      <c r="B9" s="86" t="s">
        <v>307</v>
      </c>
      <c r="C9" s="85" t="s">
        <v>308</v>
      </c>
      <c r="D9" s="86" t="s">
        <v>300</v>
      </c>
      <c r="H9">
        <v>1273599</v>
      </c>
      <c r="I9">
        <v>3</v>
      </c>
      <c r="J9">
        <v>0</v>
      </c>
    </row>
    <row r="10" spans="1:10" ht="73.5" x14ac:dyDescent="0.25">
      <c r="A10">
        <v>1280179</v>
      </c>
      <c r="B10" s="11" t="s">
        <v>324</v>
      </c>
      <c r="C10" t="s">
        <v>289</v>
      </c>
      <c r="D10" s="11" t="s">
        <v>269</v>
      </c>
      <c r="H10">
        <v>1280179</v>
      </c>
      <c r="I10">
        <v>1.4</v>
      </c>
      <c r="J10">
        <v>0</v>
      </c>
    </row>
    <row r="11" spans="1:10" ht="31.5" x14ac:dyDescent="0.25">
      <c r="A11">
        <v>1297986</v>
      </c>
      <c r="B11" s="11" t="s">
        <v>340</v>
      </c>
      <c r="C11" t="s">
        <v>364</v>
      </c>
      <c r="D11" s="11" t="s">
        <v>278</v>
      </c>
      <c r="H11">
        <v>1297986</v>
      </c>
      <c r="I11">
        <v>12.25</v>
      </c>
      <c r="J11">
        <v>66</v>
      </c>
    </row>
    <row r="12" spans="1:10" x14ac:dyDescent="0.25">
      <c r="A12">
        <v>1303151</v>
      </c>
      <c r="B12" s="11" t="s">
        <v>288</v>
      </c>
      <c r="C12" t="s">
        <v>410</v>
      </c>
      <c r="D12" s="11" t="s">
        <v>269</v>
      </c>
      <c r="H12">
        <v>1303151</v>
      </c>
      <c r="I12">
        <v>2.25</v>
      </c>
      <c r="J12">
        <v>25</v>
      </c>
    </row>
    <row r="13" spans="1:10" x14ac:dyDescent="0.25">
      <c r="A13">
        <v>1347706</v>
      </c>
      <c r="B13" s="11" t="s">
        <v>296</v>
      </c>
      <c r="C13" t="s">
        <v>298</v>
      </c>
      <c r="D13" s="11" t="s">
        <v>278</v>
      </c>
      <c r="H13">
        <v>1347706</v>
      </c>
      <c r="I13">
        <v>25.1</v>
      </c>
      <c r="J13">
        <v>36</v>
      </c>
    </row>
    <row r="14" spans="1:10" x14ac:dyDescent="0.25">
      <c r="A14">
        <v>1372957</v>
      </c>
      <c r="B14" s="11" t="s">
        <v>288</v>
      </c>
      <c r="C14" t="s">
        <v>343</v>
      </c>
      <c r="D14" s="11" t="s">
        <v>278</v>
      </c>
      <c r="H14">
        <v>1372957</v>
      </c>
      <c r="I14">
        <v>2</v>
      </c>
      <c r="J14">
        <v>3</v>
      </c>
    </row>
    <row r="15" spans="1:10" ht="73.5" x14ac:dyDescent="0.25">
      <c r="A15">
        <v>1410170</v>
      </c>
      <c r="B15" s="11" t="s">
        <v>324</v>
      </c>
      <c r="C15" t="s">
        <v>325</v>
      </c>
      <c r="D15" s="11" t="s">
        <v>300</v>
      </c>
      <c r="H15">
        <v>1410170</v>
      </c>
      <c r="I15">
        <v>17</v>
      </c>
      <c r="J15">
        <v>0</v>
      </c>
    </row>
    <row r="16" spans="1:10" x14ac:dyDescent="0.25">
      <c r="A16">
        <v>1420566</v>
      </c>
      <c r="B16" s="11" t="s">
        <v>288</v>
      </c>
      <c r="C16" t="s">
        <v>331</v>
      </c>
      <c r="D16" s="11" t="s">
        <v>294</v>
      </c>
      <c r="H16">
        <v>1420566</v>
      </c>
      <c r="I16">
        <v>3</v>
      </c>
      <c r="J16">
        <v>0</v>
      </c>
    </row>
    <row r="17" spans="1:10" ht="21" x14ac:dyDescent="0.25">
      <c r="A17">
        <v>1457407</v>
      </c>
      <c r="B17" s="11" t="s">
        <v>288</v>
      </c>
      <c r="C17" t="s">
        <v>330</v>
      </c>
      <c r="D17" s="11" t="s">
        <v>300</v>
      </c>
      <c r="H17">
        <v>1457407</v>
      </c>
      <c r="I17">
        <v>2</v>
      </c>
      <c r="J17">
        <v>0</v>
      </c>
    </row>
    <row r="18" spans="1:10" ht="31.5" x14ac:dyDescent="0.25">
      <c r="A18">
        <v>1464519</v>
      </c>
      <c r="B18" s="11" t="s">
        <v>318</v>
      </c>
      <c r="C18" t="s">
        <v>268</v>
      </c>
      <c r="D18" s="11" t="s">
        <v>300</v>
      </c>
      <c r="H18">
        <v>1464519</v>
      </c>
      <c r="I18">
        <v>2</v>
      </c>
      <c r="J18">
        <v>0</v>
      </c>
    </row>
    <row r="19" spans="1:10" x14ac:dyDescent="0.25">
      <c r="A19">
        <v>1467756</v>
      </c>
      <c r="B19" s="11" t="s">
        <v>296</v>
      </c>
      <c r="C19" t="s">
        <v>338</v>
      </c>
      <c r="D19" s="11" t="s">
        <v>269</v>
      </c>
      <c r="H19">
        <v>1467756</v>
      </c>
      <c r="I19">
        <v>7.1</v>
      </c>
      <c r="J19">
        <v>0</v>
      </c>
    </row>
    <row r="20" spans="1:10" ht="73.5" x14ac:dyDescent="0.25">
      <c r="A20">
        <v>1526260</v>
      </c>
      <c r="B20" s="11" t="s">
        <v>324</v>
      </c>
      <c r="C20" t="s">
        <v>325</v>
      </c>
      <c r="D20" s="11" t="s">
        <v>300</v>
      </c>
      <c r="H20">
        <v>1526260</v>
      </c>
      <c r="I20">
        <v>5.09</v>
      </c>
      <c r="J20">
        <v>0</v>
      </c>
    </row>
    <row r="21" spans="1:10" ht="31.5" x14ac:dyDescent="0.25">
      <c r="A21">
        <v>1656576</v>
      </c>
      <c r="B21" s="11" t="s">
        <v>318</v>
      </c>
      <c r="C21" t="s">
        <v>283</v>
      </c>
      <c r="D21" s="11" t="s">
        <v>294</v>
      </c>
      <c r="H21">
        <v>1656576</v>
      </c>
      <c r="I21">
        <v>2.8</v>
      </c>
      <c r="J21">
        <v>0</v>
      </c>
    </row>
    <row r="22" spans="1:10" x14ac:dyDescent="0.25">
      <c r="A22">
        <v>1660265</v>
      </c>
      <c r="B22" s="11" t="s">
        <v>296</v>
      </c>
      <c r="C22" t="s">
        <v>283</v>
      </c>
      <c r="D22" s="11" t="s">
        <v>278</v>
      </c>
      <c r="H22">
        <v>1660265</v>
      </c>
      <c r="I22">
        <v>4</v>
      </c>
      <c r="J22">
        <v>10</v>
      </c>
    </row>
    <row r="23" spans="1:10" ht="21" x14ac:dyDescent="0.25">
      <c r="A23">
        <v>1701584</v>
      </c>
      <c r="B23" s="11" t="s">
        <v>296</v>
      </c>
      <c r="C23" t="s">
        <v>495</v>
      </c>
      <c r="D23" s="11" t="s">
        <v>300</v>
      </c>
      <c r="H23">
        <v>1701584</v>
      </c>
      <c r="I23">
        <v>2.2000000000000002</v>
      </c>
      <c r="J23">
        <v>0</v>
      </c>
    </row>
    <row r="24" spans="1:10" x14ac:dyDescent="0.25">
      <c r="A24">
        <v>1775589</v>
      </c>
      <c r="B24" s="11" t="s">
        <v>288</v>
      </c>
      <c r="C24" t="s">
        <v>331</v>
      </c>
      <c r="D24" s="11" t="s">
        <v>294</v>
      </c>
      <c r="H24">
        <v>1775589</v>
      </c>
      <c r="I24">
        <v>6.1</v>
      </c>
      <c r="J24">
        <v>0</v>
      </c>
    </row>
    <row r="25" spans="1:10" ht="31.5" x14ac:dyDescent="0.25">
      <c r="A25">
        <v>1807508</v>
      </c>
      <c r="B25" s="11" t="s">
        <v>340</v>
      </c>
      <c r="C25" t="s">
        <v>330</v>
      </c>
      <c r="D25" s="11" t="s">
        <v>300</v>
      </c>
      <c r="H25">
        <v>1807508</v>
      </c>
      <c r="I25">
        <v>3</v>
      </c>
      <c r="J25">
        <v>0</v>
      </c>
    </row>
    <row r="26" spans="1:10" ht="31.5" x14ac:dyDescent="0.25">
      <c r="A26">
        <v>1840164</v>
      </c>
      <c r="B26" s="11" t="s">
        <v>318</v>
      </c>
      <c r="C26" t="s">
        <v>268</v>
      </c>
      <c r="D26" s="11" t="s">
        <v>300</v>
      </c>
      <c r="H26">
        <v>1840164</v>
      </c>
      <c r="I26">
        <v>0.3</v>
      </c>
      <c r="J26">
        <v>0</v>
      </c>
    </row>
    <row r="27" spans="1:10" x14ac:dyDescent="0.25">
      <c r="A27">
        <v>1853485</v>
      </c>
      <c r="B27" s="11" t="s">
        <v>379</v>
      </c>
      <c r="C27" t="s">
        <v>325</v>
      </c>
      <c r="D27" s="11" t="s">
        <v>294</v>
      </c>
      <c r="H27">
        <v>1853485</v>
      </c>
      <c r="I27">
        <v>1.3</v>
      </c>
      <c r="J27">
        <v>0</v>
      </c>
    </row>
    <row r="28" spans="1:10" ht="73.5" x14ac:dyDescent="0.25">
      <c r="A28">
        <v>1947710</v>
      </c>
      <c r="B28" s="11" t="s">
        <v>324</v>
      </c>
      <c r="C28" t="s">
        <v>283</v>
      </c>
      <c r="D28" s="11" t="s">
        <v>278</v>
      </c>
      <c r="H28">
        <v>1947710</v>
      </c>
      <c r="I28">
        <v>5.07</v>
      </c>
      <c r="J28">
        <v>4</v>
      </c>
    </row>
    <row r="29" spans="1:10" x14ac:dyDescent="0.25">
      <c r="A29">
        <v>2038560</v>
      </c>
      <c r="B29" s="11" t="s">
        <v>296</v>
      </c>
      <c r="C29" t="s">
        <v>298</v>
      </c>
      <c r="D29" s="11" t="s">
        <v>278</v>
      </c>
      <c r="H29">
        <v>2038560</v>
      </c>
      <c r="I29">
        <v>6.3</v>
      </c>
      <c r="J29">
        <v>5</v>
      </c>
    </row>
    <row r="30" spans="1:10" ht="31.5" x14ac:dyDescent="0.25">
      <c r="A30">
        <v>2049573</v>
      </c>
      <c r="B30" s="11" t="s">
        <v>318</v>
      </c>
      <c r="C30" t="s">
        <v>321</v>
      </c>
      <c r="D30" s="11" t="s">
        <v>294</v>
      </c>
      <c r="H30">
        <v>2049573</v>
      </c>
      <c r="I30">
        <v>29.75</v>
      </c>
      <c r="J30">
        <v>0</v>
      </c>
    </row>
    <row r="31" spans="1:10" ht="21" x14ac:dyDescent="0.25">
      <c r="A31">
        <v>2073130</v>
      </c>
      <c r="B31" s="11" t="s">
        <v>267</v>
      </c>
      <c r="C31" t="s">
        <v>268</v>
      </c>
      <c r="D31" s="11" t="s">
        <v>300</v>
      </c>
      <c r="H31">
        <v>2073130</v>
      </c>
      <c r="I31">
        <v>2</v>
      </c>
      <c r="J31">
        <v>0</v>
      </c>
    </row>
    <row r="32" spans="1:10" ht="21" x14ac:dyDescent="0.25">
      <c r="A32">
        <v>2084701</v>
      </c>
      <c r="B32" s="11" t="s">
        <v>379</v>
      </c>
      <c r="C32" t="s">
        <v>325</v>
      </c>
      <c r="D32" s="11" t="s">
        <v>300</v>
      </c>
      <c r="H32">
        <v>2084701</v>
      </c>
      <c r="I32">
        <v>10</v>
      </c>
      <c r="J32">
        <v>0</v>
      </c>
    </row>
    <row r="33" spans="1:10" ht="21" x14ac:dyDescent="0.25">
      <c r="A33">
        <v>2088349</v>
      </c>
      <c r="B33" s="11" t="s">
        <v>379</v>
      </c>
      <c r="C33" t="s">
        <v>325</v>
      </c>
      <c r="D33" s="11" t="s">
        <v>300</v>
      </c>
      <c r="H33">
        <v>2088349</v>
      </c>
      <c r="I33">
        <v>5</v>
      </c>
      <c r="J33">
        <v>0</v>
      </c>
    </row>
    <row r="34" spans="1:10" x14ac:dyDescent="0.25">
      <c r="A34">
        <v>2138835</v>
      </c>
      <c r="B34" s="11" t="s">
        <v>296</v>
      </c>
      <c r="C34" t="s">
        <v>285</v>
      </c>
      <c r="D34" s="11" t="s">
        <v>278</v>
      </c>
      <c r="H34">
        <v>2138835</v>
      </c>
      <c r="I34">
        <v>46.4</v>
      </c>
      <c r="J34">
        <v>111</v>
      </c>
    </row>
    <row r="35" spans="1:10" ht="31.5" x14ac:dyDescent="0.25">
      <c r="A35">
        <v>2164863</v>
      </c>
      <c r="B35" s="11" t="s">
        <v>318</v>
      </c>
      <c r="C35" t="s">
        <v>283</v>
      </c>
      <c r="D35" s="11" t="s">
        <v>294</v>
      </c>
      <c r="H35">
        <v>2164863</v>
      </c>
      <c r="I35">
        <v>1.7</v>
      </c>
      <c r="J35">
        <v>0</v>
      </c>
    </row>
    <row r="36" spans="1:10" ht="21" x14ac:dyDescent="0.25">
      <c r="A36">
        <v>2284277</v>
      </c>
      <c r="B36" s="11" t="s">
        <v>267</v>
      </c>
      <c r="C36" t="s">
        <v>268</v>
      </c>
      <c r="D36" s="11" t="s">
        <v>300</v>
      </c>
      <c r="H36">
        <v>2284277</v>
      </c>
      <c r="I36">
        <v>0.255</v>
      </c>
      <c r="J36">
        <v>0</v>
      </c>
    </row>
    <row r="37" spans="1:10" x14ac:dyDescent="0.25">
      <c r="A37">
        <v>2293541</v>
      </c>
      <c r="B37" s="11" t="s">
        <v>296</v>
      </c>
      <c r="C37" t="s">
        <v>289</v>
      </c>
      <c r="D37" s="11" t="s">
        <v>269</v>
      </c>
      <c r="H37">
        <v>2293541</v>
      </c>
      <c r="I37">
        <v>12.7</v>
      </c>
      <c r="J37">
        <v>0</v>
      </c>
    </row>
    <row r="38" spans="1:10" ht="73.5" x14ac:dyDescent="0.25">
      <c r="A38">
        <v>2308616</v>
      </c>
      <c r="B38" s="11" t="s">
        <v>324</v>
      </c>
      <c r="C38" t="s">
        <v>290</v>
      </c>
      <c r="D38" s="11" t="s">
        <v>278</v>
      </c>
      <c r="H38">
        <v>2308616</v>
      </c>
      <c r="I38">
        <v>34.5</v>
      </c>
      <c r="J38">
        <v>54</v>
      </c>
    </row>
    <row r="39" spans="1:10" ht="73.5" x14ac:dyDescent="0.25">
      <c r="A39">
        <v>2446668</v>
      </c>
      <c r="B39" s="11" t="s">
        <v>324</v>
      </c>
      <c r="C39" t="s">
        <v>283</v>
      </c>
      <c r="D39" s="11" t="s">
        <v>278</v>
      </c>
      <c r="H39">
        <v>2446668</v>
      </c>
      <c r="I39">
        <v>0.63</v>
      </c>
      <c r="J39">
        <v>3</v>
      </c>
    </row>
    <row r="40" spans="1:10" ht="31.5" x14ac:dyDescent="0.25">
      <c r="A40">
        <v>2453453</v>
      </c>
      <c r="B40" s="11" t="s">
        <v>318</v>
      </c>
      <c r="C40" t="s">
        <v>322</v>
      </c>
      <c r="D40" s="11" t="s">
        <v>294</v>
      </c>
      <c r="H40">
        <v>2453453</v>
      </c>
      <c r="I40">
        <v>1.5</v>
      </c>
      <c r="J40">
        <v>0</v>
      </c>
    </row>
    <row r="41" spans="1:10" ht="73.5" x14ac:dyDescent="0.25">
      <c r="A41">
        <v>2480451</v>
      </c>
      <c r="B41" s="11" t="s">
        <v>324</v>
      </c>
      <c r="C41" t="s">
        <v>285</v>
      </c>
      <c r="D41" s="11" t="s">
        <v>278</v>
      </c>
      <c r="H41">
        <v>2480451</v>
      </c>
      <c r="I41">
        <v>4.72</v>
      </c>
      <c r="J41">
        <v>10</v>
      </c>
    </row>
    <row r="42" spans="1:10" x14ac:dyDescent="0.25">
      <c r="A42">
        <v>2481915</v>
      </c>
      <c r="B42" s="11" t="s">
        <v>288</v>
      </c>
      <c r="C42" t="s">
        <v>409</v>
      </c>
      <c r="D42" s="11" t="s">
        <v>269</v>
      </c>
      <c r="H42">
        <v>2481915</v>
      </c>
      <c r="I42">
        <v>3.5</v>
      </c>
      <c r="J42">
        <v>0</v>
      </c>
    </row>
    <row r="43" spans="1:10" x14ac:dyDescent="0.25">
      <c r="A43">
        <v>2522751</v>
      </c>
      <c r="B43" s="11" t="s">
        <v>296</v>
      </c>
      <c r="C43" t="s">
        <v>285</v>
      </c>
      <c r="D43" s="11" t="s">
        <v>278</v>
      </c>
      <c r="H43">
        <v>2522751</v>
      </c>
      <c r="I43">
        <v>28.62</v>
      </c>
      <c r="J43">
        <v>66</v>
      </c>
    </row>
    <row r="44" spans="1:10" ht="31.5" x14ac:dyDescent="0.25">
      <c r="A44">
        <v>2527518</v>
      </c>
      <c r="B44" s="11" t="s">
        <v>318</v>
      </c>
      <c r="C44" t="s">
        <v>343</v>
      </c>
      <c r="D44" s="11" t="s">
        <v>300</v>
      </c>
      <c r="H44">
        <v>2527518</v>
      </c>
      <c r="I44">
        <v>9.85</v>
      </c>
      <c r="J44">
        <v>0</v>
      </c>
    </row>
    <row r="45" spans="1:10" x14ac:dyDescent="0.25">
      <c r="A45">
        <v>2552651</v>
      </c>
      <c r="B45" s="11" t="s">
        <v>379</v>
      </c>
      <c r="C45" t="s">
        <v>325</v>
      </c>
      <c r="D45" s="11" t="s">
        <v>294</v>
      </c>
      <c r="H45">
        <v>2552651</v>
      </c>
      <c r="I45">
        <v>2.2999999999999998</v>
      </c>
      <c r="J45">
        <v>0</v>
      </c>
    </row>
    <row r="46" spans="1:10" ht="31.5" x14ac:dyDescent="0.25">
      <c r="A46">
        <v>2572767</v>
      </c>
      <c r="B46" s="11" t="s">
        <v>318</v>
      </c>
      <c r="C46" t="s">
        <v>290</v>
      </c>
      <c r="D46" s="11" t="s">
        <v>278</v>
      </c>
      <c r="H46">
        <v>2572767</v>
      </c>
      <c r="I46">
        <v>19</v>
      </c>
      <c r="J46">
        <v>36</v>
      </c>
    </row>
    <row r="47" spans="1:10" ht="21" x14ac:dyDescent="0.25">
      <c r="A47">
        <v>2574699</v>
      </c>
      <c r="B47" s="11" t="s">
        <v>379</v>
      </c>
      <c r="C47" t="s">
        <v>325</v>
      </c>
      <c r="D47" s="11" t="s">
        <v>300</v>
      </c>
      <c r="H47">
        <v>2574699</v>
      </c>
      <c r="I47">
        <v>3</v>
      </c>
      <c r="J47">
        <v>0</v>
      </c>
    </row>
    <row r="48" spans="1:10" ht="31.5" x14ac:dyDescent="0.25">
      <c r="A48">
        <v>2584331</v>
      </c>
      <c r="B48" s="11" t="s">
        <v>340</v>
      </c>
      <c r="C48" t="s">
        <v>314</v>
      </c>
      <c r="D48" s="11" t="s">
        <v>300</v>
      </c>
      <c r="H48">
        <v>2584331</v>
      </c>
      <c r="I48">
        <v>3</v>
      </c>
      <c r="J48">
        <v>0</v>
      </c>
    </row>
    <row r="49" spans="1:10" x14ac:dyDescent="0.25">
      <c r="A49">
        <v>2587147</v>
      </c>
      <c r="B49" s="11" t="s">
        <v>379</v>
      </c>
      <c r="C49" t="s">
        <v>325</v>
      </c>
      <c r="D49" s="11" t="s">
        <v>294</v>
      </c>
      <c r="H49">
        <v>2587147</v>
      </c>
      <c r="I49">
        <v>1.03</v>
      </c>
      <c r="J49">
        <v>0</v>
      </c>
    </row>
    <row r="50" spans="1:10" x14ac:dyDescent="0.25">
      <c r="A50">
        <v>2632467</v>
      </c>
      <c r="B50" s="11" t="s">
        <v>296</v>
      </c>
      <c r="C50" t="s">
        <v>268</v>
      </c>
      <c r="D50" s="11" t="s">
        <v>269</v>
      </c>
      <c r="H50">
        <v>2632467</v>
      </c>
      <c r="I50">
        <v>10.1</v>
      </c>
      <c r="J50">
        <v>0</v>
      </c>
    </row>
    <row r="51" spans="1:10" x14ac:dyDescent="0.25">
      <c r="A51">
        <v>2684509</v>
      </c>
      <c r="B51" s="11" t="s">
        <v>267</v>
      </c>
      <c r="C51" t="s">
        <v>293</v>
      </c>
      <c r="D51" s="11" t="s">
        <v>294</v>
      </c>
      <c r="H51">
        <v>2684509</v>
      </c>
      <c r="I51">
        <v>1.6</v>
      </c>
      <c r="J51">
        <v>0</v>
      </c>
    </row>
    <row r="52" spans="1:10" ht="21" x14ac:dyDescent="0.25">
      <c r="A52">
        <v>2700736</v>
      </c>
      <c r="B52" s="11" t="s">
        <v>379</v>
      </c>
      <c r="C52" t="s">
        <v>325</v>
      </c>
      <c r="D52" s="11" t="s">
        <v>300</v>
      </c>
      <c r="H52">
        <v>2700736</v>
      </c>
      <c r="I52">
        <v>4.9000000000000004</v>
      </c>
      <c r="J52">
        <v>0</v>
      </c>
    </row>
    <row r="53" spans="1:10" ht="31.5" x14ac:dyDescent="0.25">
      <c r="A53">
        <v>2718583</v>
      </c>
      <c r="B53" s="11" t="s">
        <v>318</v>
      </c>
      <c r="C53" t="s">
        <v>338</v>
      </c>
      <c r="D53" s="11" t="s">
        <v>269</v>
      </c>
      <c r="H53">
        <v>2718583</v>
      </c>
      <c r="I53">
        <v>2.6</v>
      </c>
      <c r="J53">
        <v>0</v>
      </c>
    </row>
    <row r="54" spans="1:10" ht="21" x14ac:dyDescent="0.25">
      <c r="A54">
        <v>2838544</v>
      </c>
      <c r="B54" s="11" t="s">
        <v>379</v>
      </c>
      <c r="C54" t="s">
        <v>325</v>
      </c>
      <c r="D54" s="11" t="s">
        <v>300</v>
      </c>
      <c r="H54">
        <v>2838544</v>
      </c>
      <c r="I54">
        <v>3.1</v>
      </c>
      <c r="J54">
        <v>0</v>
      </c>
    </row>
    <row r="55" spans="1:10" ht="73.5" x14ac:dyDescent="0.25">
      <c r="A55">
        <v>2854766</v>
      </c>
      <c r="B55" s="11" t="s">
        <v>324</v>
      </c>
      <c r="C55" t="s">
        <v>289</v>
      </c>
      <c r="D55" s="11" t="s">
        <v>269</v>
      </c>
      <c r="H55">
        <v>2854766</v>
      </c>
      <c r="I55">
        <v>0.88</v>
      </c>
      <c r="J55">
        <v>0</v>
      </c>
    </row>
    <row r="56" spans="1:10" ht="31.5" x14ac:dyDescent="0.25">
      <c r="A56">
        <v>2925974</v>
      </c>
      <c r="B56" s="11" t="s">
        <v>340</v>
      </c>
      <c r="C56" t="s">
        <v>314</v>
      </c>
      <c r="D56" s="11" t="s">
        <v>300</v>
      </c>
      <c r="H56">
        <v>2925974</v>
      </c>
      <c r="I56">
        <v>7</v>
      </c>
      <c r="J56">
        <v>0</v>
      </c>
    </row>
    <row r="57" spans="1:10" ht="21" x14ac:dyDescent="0.25">
      <c r="A57">
        <v>2928724</v>
      </c>
      <c r="B57" s="11" t="s">
        <v>379</v>
      </c>
      <c r="C57" t="s">
        <v>325</v>
      </c>
      <c r="D57" s="11" t="s">
        <v>300</v>
      </c>
      <c r="H57">
        <v>2928724</v>
      </c>
      <c r="I57">
        <v>8</v>
      </c>
      <c r="J57">
        <v>0</v>
      </c>
    </row>
    <row r="58" spans="1:10" ht="21" x14ac:dyDescent="0.25">
      <c r="A58">
        <v>2930990</v>
      </c>
      <c r="B58" s="11" t="s">
        <v>267</v>
      </c>
      <c r="C58" t="s">
        <v>330</v>
      </c>
      <c r="D58" s="11" t="s">
        <v>300</v>
      </c>
      <c r="H58">
        <v>2930990</v>
      </c>
      <c r="I58">
        <v>5</v>
      </c>
      <c r="J58">
        <v>0</v>
      </c>
    </row>
    <row r="59" spans="1:10" ht="31.5" x14ac:dyDescent="0.25">
      <c r="A59">
        <v>2954592</v>
      </c>
      <c r="B59" s="11" t="s">
        <v>318</v>
      </c>
      <c r="C59" t="s">
        <v>308</v>
      </c>
      <c r="D59" s="11" t="s">
        <v>300</v>
      </c>
      <c r="H59">
        <v>2954592</v>
      </c>
      <c r="I59">
        <v>2.67</v>
      </c>
      <c r="J59">
        <v>0</v>
      </c>
    </row>
    <row r="60" spans="1:10" ht="73.5" x14ac:dyDescent="0.25">
      <c r="A60">
        <v>3001174</v>
      </c>
      <c r="B60" s="11" t="s">
        <v>324</v>
      </c>
      <c r="C60" t="s">
        <v>285</v>
      </c>
      <c r="D60" s="11" t="s">
        <v>278</v>
      </c>
      <c r="H60">
        <v>3001174</v>
      </c>
      <c r="I60">
        <v>15.75</v>
      </c>
      <c r="J60">
        <v>35</v>
      </c>
    </row>
    <row r="61" spans="1:10" x14ac:dyDescent="0.25">
      <c r="A61">
        <v>3005927</v>
      </c>
      <c r="B61" s="11" t="s">
        <v>379</v>
      </c>
      <c r="C61" t="s">
        <v>325</v>
      </c>
      <c r="D61" s="11" t="s">
        <v>294</v>
      </c>
      <c r="H61">
        <v>3005927</v>
      </c>
      <c r="I61">
        <v>1.6</v>
      </c>
      <c r="J61">
        <v>0</v>
      </c>
    </row>
    <row r="62" spans="1:10" ht="31.5" x14ac:dyDescent="0.25">
      <c r="A62">
        <v>3055579</v>
      </c>
      <c r="B62" s="11" t="s">
        <v>302</v>
      </c>
      <c r="C62" t="s">
        <v>290</v>
      </c>
      <c r="D62" s="11" t="s">
        <v>278</v>
      </c>
      <c r="H62">
        <v>3055579</v>
      </c>
      <c r="I62">
        <v>28.02</v>
      </c>
      <c r="J62">
        <v>78</v>
      </c>
    </row>
    <row r="63" spans="1:10" ht="31.5" x14ac:dyDescent="0.25">
      <c r="A63">
        <v>3069495</v>
      </c>
      <c r="B63" s="11" t="s">
        <v>318</v>
      </c>
      <c r="C63" t="s">
        <v>283</v>
      </c>
      <c r="D63" s="11" t="s">
        <v>278</v>
      </c>
      <c r="H63">
        <v>3069495</v>
      </c>
      <c r="I63">
        <v>6</v>
      </c>
      <c r="J63">
        <v>7</v>
      </c>
    </row>
    <row r="64" spans="1:10" x14ac:dyDescent="0.25">
      <c r="A64">
        <v>3139161</v>
      </c>
      <c r="B64" s="11" t="s">
        <v>296</v>
      </c>
      <c r="C64" t="s">
        <v>290</v>
      </c>
      <c r="D64" s="11" t="s">
        <v>278</v>
      </c>
      <c r="H64">
        <v>3139161</v>
      </c>
      <c r="I64">
        <v>32</v>
      </c>
      <c r="J64">
        <v>59</v>
      </c>
    </row>
    <row r="65" spans="1:10" x14ac:dyDescent="0.25">
      <c r="A65">
        <v>3145588</v>
      </c>
      <c r="B65" s="11" t="s">
        <v>296</v>
      </c>
      <c r="C65" t="s">
        <v>283</v>
      </c>
      <c r="D65" s="11" t="s">
        <v>278</v>
      </c>
      <c r="H65">
        <v>3145588</v>
      </c>
      <c r="I65">
        <v>2.2999999999999998</v>
      </c>
      <c r="J65">
        <v>2</v>
      </c>
    </row>
    <row r="66" spans="1:10" ht="31.5" x14ac:dyDescent="0.25">
      <c r="A66">
        <v>3146268</v>
      </c>
      <c r="B66" s="11" t="s">
        <v>340</v>
      </c>
      <c r="C66" t="s">
        <v>364</v>
      </c>
      <c r="D66" s="11" t="s">
        <v>278</v>
      </c>
      <c r="H66">
        <v>3146268</v>
      </c>
      <c r="I66">
        <v>6.5</v>
      </c>
      <c r="J66">
        <v>17</v>
      </c>
    </row>
    <row r="67" spans="1:10" ht="31.5" x14ac:dyDescent="0.25">
      <c r="A67">
        <v>3148048</v>
      </c>
      <c r="B67" s="11" t="s">
        <v>340</v>
      </c>
      <c r="C67" t="s">
        <v>314</v>
      </c>
      <c r="D67" s="11" t="s">
        <v>300</v>
      </c>
      <c r="H67">
        <v>3148048</v>
      </c>
      <c r="I67">
        <v>3</v>
      </c>
      <c r="J67">
        <v>0</v>
      </c>
    </row>
    <row r="68" spans="1:10" x14ac:dyDescent="0.25">
      <c r="A68">
        <v>3152221</v>
      </c>
      <c r="B68" s="11" t="s">
        <v>296</v>
      </c>
      <c r="C68" t="s">
        <v>298</v>
      </c>
      <c r="D68" s="11" t="s">
        <v>278</v>
      </c>
      <c r="H68">
        <v>3152221</v>
      </c>
      <c r="I68">
        <v>32.15</v>
      </c>
      <c r="J68">
        <v>29</v>
      </c>
    </row>
    <row r="69" spans="1:10" ht="31.5" x14ac:dyDescent="0.25">
      <c r="A69">
        <v>3166608</v>
      </c>
      <c r="B69" s="11" t="s">
        <v>318</v>
      </c>
      <c r="C69" t="s">
        <v>298</v>
      </c>
      <c r="D69" s="11" t="s">
        <v>278</v>
      </c>
      <c r="H69">
        <v>3166608</v>
      </c>
      <c r="I69">
        <v>12.75</v>
      </c>
      <c r="J69">
        <v>25</v>
      </c>
    </row>
    <row r="70" spans="1:10" x14ac:dyDescent="0.25">
      <c r="A70">
        <v>3190180</v>
      </c>
      <c r="B70" s="11" t="s">
        <v>296</v>
      </c>
      <c r="C70" t="s">
        <v>297</v>
      </c>
      <c r="D70" s="11" t="s">
        <v>269</v>
      </c>
      <c r="H70">
        <v>3190180</v>
      </c>
      <c r="I70">
        <v>5.9</v>
      </c>
      <c r="J70">
        <v>0</v>
      </c>
    </row>
    <row r="71" spans="1:10" ht="31.5" x14ac:dyDescent="0.25">
      <c r="A71">
        <v>3364695</v>
      </c>
      <c r="B71" s="11" t="s">
        <v>318</v>
      </c>
      <c r="C71" t="s">
        <v>268</v>
      </c>
      <c r="D71" s="11" t="s">
        <v>300</v>
      </c>
      <c r="H71">
        <v>3364695</v>
      </c>
      <c r="I71">
        <v>2</v>
      </c>
      <c r="J71">
        <v>0</v>
      </c>
    </row>
    <row r="72" spans="1:10" ht="73.5" x14ac:dyDescent="0.25">
      <c r="A72">
        <v>3368051</v>
      </c>
      <c r="B72" s="11" t="s">
        <v>324</v>
      </c>
      <c r="C72" t="s">
        <v>283</v>
      </c>
      <c r="D72" s="11" t="s">
        <v>278</v>
      </c>
      <c r="H72">
        <v>3368051</v>
      </c>
      <c r="I72">
        <v>3.4</v>
      </c>
      <c r="J72">
        <v>5</v>
      </c>
    </row>
    <row r="73" spans="1:10" x14ac:dyDescent="0.25">
      <c r="A73">
        <v>3415850</v>
      </c>
      <c r="B73" s="11" t="s">
        <v>379</v>
      </c>
      <c r="C73" t="s">
        <v>325</v>
      </c>
      <c r="D73" s="11" t="s">
        <v>294</v>
      </c>
      <c r="H73">
        <v>3415850</v>
      </c>
      <c r="I73">
        <v>2.7</v>
      </c>
      <c r="J73">
        <v>0</v>
      </c>
    </row>
    <row r="74" spans="1:10" ht="31.5" x14ac:dyDescent="0.25">
      <c r="A74">
        <v>3428319</v>
      </c>
      <c r="B74" s="11" t="s">
        <v>340</v>
      </c>
      <c r="C74" t="s">
        <v>330</v>
      </c>
      <c r="D74" s="11" t="s">
        <v>300</v>
      </c>
      <c r="H74">
        <v>3428319</v>
      </c>
      <c r="I74">
        <v>5</v>
      </c>
      <c r="J74">
        <v>0</v>
      </c>
    </row>
    <row r="75" spans="1:10" x14ac:dyDescent="0.25">
      <c r="A75">
        <v>3438523</v>
      </c>
      <c r="B75" s="11" t="s">
        <v>296</v>
      </c>
      <c r="C75" t="s">
        <v>298</v>
      </c>
      <c r="D75" s="11" t="s">
        <v>278</v>
      </c>
      <c r="H75">
        <v>3438523</v>
      </c>
      <c r="I75">
        <v>56</v>
      </c>
      <c r="J75">
        <v>48</v>
      </c>
    </row>
    <row r="76" spans="1:10" ht="73.5" x14ac:dyDescent="0.25">
      <c r="A76">
        <v>3555154</v>
      </c>
      <c r="B76" s="11" t="s">
        <v>324</v>
      </c>
      <c r="C76" t="s">
        <v>325</v>
      </c>
      <c r="D76" s="11" t="s">
        <v>294</v>
      </c>
      <c r="H76">
        <v>3555154</v>
      </c>
      <c r="I76">
        <v>2.75</v>
      </c>
      <c r="J76">
        <v>0</v>
      </c>
    </row>
    <row r="77" spans="1:10" ht="31.5" x14ac:dyDescent="0.25">
      <c r="A77">
        <v>3596108</v>
      </c>
      <c r="B77" s="11" t="s">
        <v>318</v>
      </c>
      <c r="C77" t="s">
        <v>365</v>
      </c>
      <c r="D77" s="11" t="s">
        <v>294</v>
      </c>
      <c r="H77">
        <v>3596108</v>
      </c>
      <c r="I77">
        <v>11</v>
      </c>
      <c r="J77">
        <v>0</v>
      </c>
    </row>
    <row r="78" spans="1:10" ht="73.5" x14ac:dyDescent="0.25">
      <c r="A78">
        <v>3625295</v>
      </c>
      <c r="B78" s="11" t="s">
        <v>324</v>
      </c>
      <c r="C78" t="s">
        <v>285</v>
      </c>
      <c r="D78" s="11" t="s">
        <v>278</v>
      </c>
      <c r="H78">
        <v>3625295</v>
      </c>
      <c r="I78">
        <v>27.5</v>
      </c>
      <c r="J78">
        <v>65</v>
      </c>
    </row>
    <row r="79" spans="1:10" ht="31.5" x14ac:dyDescent="0.25">
      <c r="A79">
        <v>3632154</v>
      </c>
      <c r="B79" s="11" t="s">
        <v>340</v>
      </c>
      <c r="C79" t="s">
        <v>325</v>
      </c>
      <c r="D79" s="11" t="s">
        <v>294</v>
      </c>
      <c r="H79">
        <v>3632154</v>
      </c>
      <c r="I79">
        <v>5.5</v>
      </c>
      <c r="J79">
        <v>0</v>
      </c>
    </row>
    <row r="80" spans="1:10" ht="21" x14ac:dyDescent="0.25">
      <c r="A80">
        <v>3661910</v>
      </c>
      <c r="B80" s="11" t="s">
        <v>374</v>
      </c>
      <c r="C80" t="s">
        <v>314</v>
      </c>
      <c r="D80" s="11" t="s">
        <v>300</v>
      </c>
      <c r="H80">
        <v>3661910</v>
      </c>
      <c r="I80">
        <v>2</v>
      </c>
      <c r="J80">
        <v>0</v>
      </c>
    </row>
    <row r="81" spans="1:10" ht="73.5" x14ac:dyDescent="0.25">
      <c r="A81">
        <v>3682159</v>
      </c>
      <c r="B81" s="11" t="s">
        <v>324</v>
      </c>
      <c r="C81" t="s">
        <v>414</v>
      </c>
      <c r="D81" s="11" t="s">
        <v>278</v>
      </c>
      <c r="H81">
        <v>3682159</v>
      </c>
      <c r="I81">
        <v>2.5</v>
      </c>
      <c r="J81">
        <v>4</v>
      </c>
    </row>
    <row r="82" spans="1:10" ht="73.5" x14ac:dyDescent="0.25">
      <c r="A82">
        <v>3702507</v>
      </c>
      <c r="B82" s="11" t="s">
        <v>324</v>
      </c>
      <c r="C82" t="s">
        <v>414</v>
      </c>
      <c r="D82" s="11" t="s">
        <v>278</v>
      </c>
      <c r="H82">
        <v>3702507</v>
      </c>
      <c r="I82">
        <v>3.0300000000000002</v>
      </c>
      <c r="J82">
        <v>5</v>
      </c>
    </row>
    <row r="83" spans="1:10" ht="73.5" x14ac:dyDescent="0.25">
      <c r="A83">
        <v>3732526</v>
      </c>
      <c r="B83" s="11" t="s">
        <v>324</v>
      </c>
      <c r="C83" t="s">
        <v>285</v>
      </c>
      <c r="D83" s="11" t="s">
        <v>278</v>
      </c>
      <c r="H83">
        <v>3732526</v>
      </c>
      <c r="I83">
        <v>33.1</v>
      </c>
      <c r="J83">
        <v>64</v>
      </c>
    </row>
    <row r="84" spans="1:10" x14ac:dyDescent="0.25">
      <c r="A84">
        <v>3775974</v>
      </c>
      <c r="B84" s="11" t="s">
        <v>288</v>
      </c>
      <c r="C84" t="s">
        <v>331</v>
      </c>
      <c r="D84" s="11" t="s">
        <v>294</v>
      </c>
      <c r="H84">
        <v>3775974</v>
      </c>
      <c r="I84">
        <v>2</v>
      </c>
      <c r="J84">
        <v>0</v>
      </c>
    </row>
    <row r="85" spans="1:10" ht="73.5" x14ac:dyDescent="0.25">
      <c r="A85">
        <v>3790182</v>
      </c>
      <c r="B85" s="11" t="s">
        <v>324</v>
      </c>
      <c r="C85" t="s">
        <v>289</v>
      </c>
      <c r="D85" s="11" t="s">
        <v>269</v>
      </c>
      <c r="H85">
        <v>3790182</v>
      </c>
      <c r="I85">
        <v>4.9000000000000004</v>
      </c>
      <c r="J85">
        <v>0</v>
      </c>
    </row>
    <row r="86" spans="1:10" x14ac:dyDescent="0.25">
      <c r="A86">
        <v>3801846</v>
      </c>
      <c r="B86" s="11" t="s">
        <v>288</v>
      </c>
      <c r="C86" t="s">
        <v>407</v>
      </c>
      <c r="D86" s="11" t="s">
        <v>269</v>
      </c>
      <c r="H86">
        <v>3801846</v>
      </c>
      <c r="I86">
        <v>2.65</v>
      </c>
      <c r="J86">
        <v>0</v>
      </c>
    </row>
    <row r="87" spans="1:10" ht="31.5" x14ac:dyDescent="0.25">
      <c r="A87">
        <v>3802797</v>
      </c>
      <c r="B87" s="11" t="s">
        <v>318</v>
      </c>
      <c r="C87" t="s">
        <v>406</v>
      </c>
      <c r="D87" s="11" t="s">
        <v>278</v>
      </c>
      <c r="H87">
        <v>3802797</v>
      </c>
      <c r="I87">
        <v>1.5</v>
      </c>
      <c r="J87">
        <v>5</v>
      </c>
    </row>
    <row r="88" spans="1:10" x14ac:dyDescent="0.25">
      <c r="A88">
        <v>3822869</v>
      </c>
      <c r="B88" s="11" t="s">
        <v>288</v>
      </c>
      <c r="C88" t="s">
        <v>410</v>
      </c>
      <c r="D88" s="11" t="s">
        <v>269</v>
      </c>
      <c r="H88">
        <v>3822869</v>
      </c>
      <c r="I88">
        <v>2.15</v>
      </c>
      <c r="J88">
        <v>32</v>
      </c>
    </row>
    <row r="89" spans="1:10" x14ac:dyDescent="0.25">
      <c r="A89">
        <v>3823721</v>
      </c>
      <c r="B89" s="11" t="s">
        <v>296</v>
      </c>
      <c r="C89" t="s">
        <v>285</v>
      </c>
      <c r="D89" s="11" t="s">
        <v>278</v>
      </c>
      <c r="H89">
        <v>3823721</v>
      </c>
      <c r="I89">
        <v>14.76</v>
      </c>
      <c r="J89">
        <v>37</v>
      </c>
    </row>
    <row r="90" spans="1:10" ht="31.5" x14ac:dyDescent="0.25">
      <c r="A90">
        <v>3843439</v>
      </c>
      <c r="B90" s="11" t="s">
        <v>318</v>
      </c>
      <c r="C90" t="s">
        <v>343</v>
      </c>
      <c r="D90" s="11" t="s">
        <v>300</v>
      </c>
      <c r="H90">
        <v>3843439</v>
      </c>
      <c r="I90">
        <v>1.5</v>
      </c>
      <c r="J90">
        <v>0</v>
      </c>
    </row>
    <row r="91" spans="1:10" ht="31.5" x14ac:dyDescent="0.25">
      <c r="A91">
        <v>3852372</v>
      </c>
      <c r="B91" s="11" t="s">
        <v>318</v>
      </c>
      <c r="C91" t="s">
        <v>321</v>
      </c>
      <c r="D91" s="11" t="s">
        <v>294</v>
      </c>
      <c r="H91">
        <v>3852372</v>
      </c>
      <c r="I91">
        <v>11.05</v>
      </c>
      <c r="J91">
        <v>0</v>
      </c>
    </row>
    <row r="92" spans="1:10" ht="31.5" x14ac:dyDescent="0.25">
      <c r="A92">
        <v>3865693</v>
      </c>
      <c r="B92" s="11" t="s">
        <v>318</v>
      </c>
      <c r="C92" t="s">
        <v>337</v>
      </c>
      <c r="D92" s="11" t="s">
        <v>278</v>
      </c>
      <c r="H92">
        <v>3865693</v>
      </c>
      <c r="I92">
        <v>8.5</v>
      </c>
      <c r="J92">
        <v>32</v>
      </c>
    </row>
    <row r="93" spans="1:10" ht="21" x14ac:dyDescent="0.25">
      <c r="A93">
        <v>3886672</v>
      </c>
      <c r="B93" s="11" t="s">
        <v>379</v>
      </c>
      <c r="C93" t="s">
        <v>325</v>
      </c>
      <c r="D93" s="11" t="s">
        <v>300</v>
      </c>
      <c r="H93">
        <v>3886672</v>
      </c>
      <c r="I93">
        <v>8.75</v>
      </c>
      <c r="J93">
        <v>0</v>
      </c>
    </row>
    <row r="94" spans="1:10" ht="21" x14ac:dyDescent="0.25">
      <c r="A94">
        <v>3910140</v>
      </c>
      <c r="B94" s="11" t="s">
        <v>288</v>
      </c>
      <c r="C94" t="s">
        <v>314</v>
      </c>
      <c r="D94" s="11" t="s">
        <v>300</v>
      </c>
      <c r="H94">
        <v>3910140</v>
      </c>
      <c r="I94">
        <v>5</v>
      </c>
      <c r="J94">
        <v>0</v>
      </c>
    </row>
    <row r="95" spans="1:10" ht="21" x14ac:dyDescent="0.25">
      <c r="A95">
        <v>3912232</v>
      </c>
      <c r="B95" s="11" t="s">
        <v>374</v>
      </c>
      <c r="C95" t="s">
        <v>314</v>
      </c>
      <c r="D95" s="11" t="s">
        <v>300</v>
      </c>
      <c r="H95">
        <v>3912232</v>
      </c>
      <c r="I95">
        <v>1</v>
      </c>
      <c r="J95">
        <v>0</v>
      </c>
    </row>
    <row r="96" spans="1:10" ht="73.5" x14ac:dyDescent="0.25">
      <c r="A96">
        <v>3949768</v>
      </c>
      <c r="B96" s="11" t="s">
        <v>324</v>
      </c>
      <c r="C96" t="s">
        <v>325</v>
      </c>
      <c r="D96" s="11" t="s">
        <v>300</v>
      </c>
      <c r="H96">
        <v>3949768</v>
      </c>
      <c r="I96">
        <v>6.1</v>
      </c>
      <c r="J96">
        <v>0</v>
      </c>
    </row>
    <row r="97" spans="1:10" ht="21" x14ac:dyDescent="0.25">
      <c r="A97">
        <v>3959325</v>
      </c>
      <c r="B97" s="11" t="s">
        <v>267</v>
      </c>
      <c r="C97" t="s">
        <v>313</v>
      </c>
      <c r="D97" s="11" t="s">
        <v>300</v>
      </c>
      <c r="H97">
        <v>3959325</v>
      </c>
      <c r="I97">
        <v>10.8</v>
      </c>
      <c r="J97">
        <v>0</v>
      </c>
    </row>
    <row r="98" spans="1:10" x14ac:dyDescent="0.25">
      <c r="A98">
        <v>3977219</v>
      </c>
      <c r="B98" s="11" t="s">
        <v>379</v>
      </c>
      <c r="C98" t="s">
        <v>325</v>
      </c>
      <c r="D98" s="11" t="s">
        <v>294</v>
      </c>
      <c r="H98">
        <v>3977219</v>
      </c>
      <c r="I98">
        <v>2</v>
      </c>
      <c r="J98">
        <v>0</v>
      </c>
    </row>
    <row r="99" spans="1:10" ht="31.5" x14ac:dyDescent="0.25">
      <c r="A99">
        <v>3988103</v>
      </c>
      <c r="B99" s="11" t="s">
        <v>340</v>
      </c>
      <c r="C99" t="s">
        <v>285</v>
      </c>
      <c r="D99" s="11" t="s">
        <v>278</v>
      </c>
      <c r="H99">
        <v>3988103</v>
      </c>
      <c r="I99">
        <v>17.399999999999999</v>
      </c>
      <c r="J99">
        <v>45</v>
      </c>
    </row>
    <row r="100" spans="1:10" x14ac:dyDescent="0.25">
      <c r="A100">
        <v>4094333</v>
      </c>
      <c r="B100" s="11" t="s">
        <v>296</v>
      </c>
      <c r="C100" t="s">
        <v>298</v>
      </c>
      <c r="D100" s="11" t="s">
        <v>278</v>
      </c>
      <c r="H100">
        <v>4094333</v>
      </c>
      <c r="I100">
        <v>32.6</v>
      </c>
      <c r="J100">
        <v>25</v>
      </c>
    </row>
    <row r="101" spans="1:10" ht="21" x14ac:dyDescent="0.25">
      <c r="A101">
        <v>4142726</v>
      </c>
      <c r="B101" s="11" t="s">
        <v>267</v>
      </c>
      <c r="C101" t="s">
        <v>270</v>
      </c>
      <c r="D101" s="11" t="s">
        <v>271</v>
      </c>
      <c r="H101">
        <v>4142726</v>
      </c>
      <c r="I101">
        <v>2.4500000000000002</v>
      </c>
      <c r="J101">
        <v>10</v>
      </c>
    </row>
    <row r="102" spans="1:10" ht="31.5" x14ac:dyDescent="0.25">
      <c r="A102">
        <v>4148036</v>
      </c>
      <c r="B102" s="11" t="s">
        <v>318</v>
      </c>
      <c r="C102" t="s">
        <v>268</v>
      </c>
      <c r="D102" s="11" t="s">
        <v>300</v>
      </c>
      <c r="H102">
        <v>4148036</v>
      </c>
      <c r="I102">
        <v>0.2</v>
      </c>
      <c r="J102">
        <v>0</v>
      </c>
    </row>
    <row r="103" spans="1:10" ht="73.5" x14ac:dyDescent="0.25">
      <c r="A103">
        <v>4234054</v>
      </c>
      <c r="B103" s="11" t="s">
        <v>324</v>
      </c>
      <c r="C103" t="s">
        <v>285</v>
      </c>
      <c r="D103" s="11" t="s">
        <v>278</v>
      </c>
      <c r="H103">
        <v>4234054</v>
      </c>
      <c r="I103">
        <v>41.27</v>
      </c>
      <c r="J103">
        <v>71</v>
      </c>
    </row>
    <row r="104" spans="1:10" ht="73.5" x14ac:dyDescent="0.25">
      <c r="A104">
        <v>4297455</v>
      </c>
      <c r="B104" s="11" t="s">
        <v>324</v>
      </c>
      <c r="C104" t="s">
        <v>289</v>
      </c>
      <c r="D104" s="11" t="s">
        <v>269</v>
      </c>
      <c r="H104">
        <v>4297455</v>
      </c>
      <c r="I104">
        <v>4.5</v>
      </c>
      <c r="J104">
        <v>0</v>
      </c>
    </row>
    <row r="105" spans="1:10" x14ac:dyDescent="0.25">
      <c r="A105">
        <v>4319542</v>
      </c>
      <c r="B105" s="11" t="s">
        <v>267</v>
      </c>
      <c r="C105" t="s">
        <v>308</v>
      </c>
      <c r="D105" s="11" t="s">
        <v>269</v>
      </c>
      <c r="H105">
        <v>4319542</v>
      </c>
      <c r="I105">
        <v>0.21000000000000002</v>
      </c>
      <c r="J105">
        <v>0</v>
      </c>
    </row>
    <row r="106" spans="1:10" x14ac:dyDescent="0.25">
      <c r="A106">
        <v>4337287</v>
      </c>
      <c r="B106" s="11" t="s">
        <v>296</v>
      </c>
      <c r="C106" t="s">
        <v>268</v>
      </c>
      <c r="D106" s="11" t="s">
        <v>269</v>
      </c>
      <c r="H106">
        <v>4337287</v>
      </c>
      <c r="I106">
        <v>4.4000000000000004</v>
      </c>
      <c r="J106">
        <v>0</v>
      </c>
    </row>
    <row r="107" spans="1:10" ht="31.5" x14ac:dyDescent="0.25">
      <c r="A107">
        <v>4343228</v>
      </c>
      <c r="B107" s="11" t="s">
        <v>318</v>
      </c>
      <c r="C107" t="s">
        <v>283</v>
      </c>
      <c r="D107" s="11" t="s">
        <v>294</v>
      </c>
      <c r="H107">
        <v>4343228</v>
      </c>
      <c r="I107">
        <v>12.3</v>
      </c>
      <c r="J107">
        <v>0</v>
      </c>
    </row>
    <row r="108" spans="1:10" x14ac:dyDescent="0.25">
      <c r="A108">
        <v>4353078</v>
      </c>
      <c r="B108" s="11" t="s">
        <v>267</v>
      </c>
      <c r="C108" t="s">
        <v>365</v>
      </c>
      <c r="D108" s="11" t="s">
        <v>294</v>
      </c>
      <c r="H108">
        <v>4353078</v>
      </c>
      <c r="I108">
        <v>4.8</v>
      </c>
      <c r="J108">
        <v>0</v>
      </c>
    </row>
    <row r="109" spans="1:10" x14ac:dyDescent="0.25">
      <c r="A109">
        <v>4358523</v>
      </c>
      <c r="B109" s="11" t="s">
        <v>267</v>
      </c>
      <c r="C109" t="s">
        <v>322</v>
      </c>
      <c r="D109" s="11" t="s">
        <v>294</v>
      </c>
      <c r="H109">
        <v>4358523</v>
      </c>
      <c r="I109">
        <v>0.94</v>
      </c>
      <c r="J109">
        <v>0</v>
      </c>
    </row>
    <row r="110" spans="1:10" ht="31.5" x14ac:dyDescent="0.25">
      <c r="A110">
        <v>4385424</v>
      </c>
      <c r="B110" s="11" t="s">
        <v>318</v>
      </c>
      <c r="C110" t="s">
        <v>343</v>
      </c>
      <c r="D110" s="11" t="s">
        <v>269</v>
      </c>
      <c r="H110">
        <v>4385424</v>
      </c>
      <c r="I110">
        <v>3.1</v>
      </c>
      <c r="J110">
        <v>0</v>
      </c>
    </row>
    <row r="111" spans="1:10" x14ac:dyDescent="0.25">
      <c r="A111">
        <v>4418892</v>
      </c>
      <c r="B111" s="11" t="s">
        <v>296</v>
      </c>
      <c r="C111" t="s">
        <v>298</v>
      </c>
      <c r="D111" s="11" t="s">
        <v>278</v>
      </c>
      <c r="H111">
        <v>4418892</v>
      </c>
      <c r="I111">
        <v>25.7</v>
      </c>
      <c r="J111">
        <v>40</v>
      </c>
    </row>
    <row r="112" spans="1:10" x14ac:dyDescent="0.25">
      <c r="A112">
        <v>4441304</v>
      </c>
      <c r="B112" s="11" t="s">
        <v>288</v>
      </c>
      <c r="C112" t="s">
        <v>331</v>
      </c>
      <c r="D112" s="11" t="s">
        <v>294</v>
      </c>
      <c r="H112">
        <v>4441304</v>
      </c>
      <c r="I112">
        <v>0.6</v>
      </c>
      <c r="J112">
        <v>0</v>
      </c>
    </row>
    <row r="113" spans="1:10" ht="73.5" x14ac:dyDescent="0.25">
      <c r="A113">
        <v>4493554</v>
      </c>
      <c r="B113" s="11" t="s">
        <v>324</v>
      </c>
      <c r="C113" t="s">
        <v>325</v>
      </c>
      <c r="D113" s="11" t="s">
        <v>294</v>
      </c>
      <c r="H113">
        <v>4493554</v>
      </c>
      <c r="I113">
        <v>3.68</v>
      </c>
      <c r="J113">
        <v>0</v>
      </c>
    </row>
    <row r="114" spans="1:10" ht="21" x14ac:dyDescent="0.25">
      <c r="A114">
        <v>4501907</v>
      </c>
      <c r="B114" s="11" t="s">
        <v>282</v>
      </c>
      <c r="C114" t="s">
        <v>414</v>
      </c>
      <c r="D114" s="11" t="s">
        <v>278</v>
      </c>
      <c r="H114">
        <v>4501907</v>
      </c>
      <c r="I114">
        <v>0.4</v>
      </c>
      <c r="J114">
        <v>5</v>
      </c>
    </row>
    <row r="115" spans="1:10" ht="21" x14ac:dyDescent="0.25">
      <c r="A115">
        <v>4530859</v>
      </c>
      <c r="B115" s="11" t="s">
        <v>282</v>
      </c>
      <c r="C115" t="s">
        <v>285</v>
      </c>
      <c r="D115" s="11" t="s">
        <v>278</v>
      </c>
      <c r="H115">
        <v>4530859</v>
      </c>
      <c r="I115">
        <v>18</v>
      </c>
      <c r="J115">
        <v>30</v>
      </c>
    </row>
    <row r="116" spans="1:10" x14ac:dyDescent="0.25">
      <c r="A116">
        <v>4630845</v>
      </c>
      <c r="B116" s="11" t="s">
        <v>296</v>
      </c>
      <c r="C116" t="s">
        <v>290</v>
      </c>
      <c r="D116" s="11" t="s">
        <v>278</v>
      </c>
      <c r="H116">
        <v>4630845</v>
      </c>
      <c r="I116">
        <v>15.6</v>
      </c>
      <c r="J116">
        <v>22</v>
      </c>
    </row>
    <row r="117" spans="1:10" x14ac:dyDescent="0.25">
      <c r="A117">
        <v>4654168</v>
      </c>
      <c r="B117" s="11" t="s">
        <v>296</v>
      </c>
      <c r="C117" t="s">
        <v>290</v>
      </c>
      <c r="D117" s="11" t="s">
        <v>278</v>
      </c>
      <c r="H117">
        <v>4654168</v>
      </c>
      <c r="I117">
        <v>22.155000000000001</v>
      </c>
      <c r="J117">
        <v>36</v>
      </c>
    </row>
    <row r="118" spans="1:10" x14ac:dyDescent="0.25">
      <c r="A118">
        <v>4661168</v>
      </c>
      <c r="B118" s="11" t="s">
        <v>288</v>
      </c>
      <c r="C118" t="s">
        <v>338</v>
      </c>
      <c r="D118" s="11" t="s">
        <v>269</v>
      </c>
      <c r="H118">
        <v>4661168</v>
      </c>
      <c r="I118">
        <v>3</v>
      </c>
      <c r="J118">
        <v>0</v>
      </c>
    </row>
    <row r="119" spans="1:10" ht="21" x14ac:dyDescent="0.25">
      <c r="A119">
        <v>4756138</v>
      </c>
      <c r="B119" s="11" t="s">
        <v>267</v>
      </c>
      <c r="C119" t="s">
        <v>308</v>
      </c>
      <c r="D119" s="11" t="s">
        <v>300</v>
      </c>
      <c r="H119">
        <v>4756138</v>
      </c>
      <c r="I119">
        <v>1.57</v>
      </c>
      <c r="J119">
        <v>0</v>
      </c>
    </row>
    <row r="120" spans="1:10" ht="21" x14ac:dyDescent="0.25">
      <c r="A120">
        <v>4823957</v>
      </c>
      <c r="B120" s="11" t="s">
        <v>267</v>
      </c>
      <c r="C120" t="s">
        <v>314</v>
      </c>
      <c r="D120" s="11" t="s">
        <v>300</v>
      </c>
      <c r="H120">
        <v>4823957</v>
      </c>
      <c r="I120">
        <v>8.5</v>
      </c>
      <c r="J120">
        <v>0</v>
      </c>
    </row>
    <row r="121" spans="1:10" x14ac:dyDescent="0.25">
      <c r="A121">
        <v>4853448</v>
      </c>
      <c r="B121" s="11" t="s">
        <v>267</v>
      </c>
      <c r="C121" t="s">
        <v>277</v>
      </c>
      <c r="D121" s="11" t="s">
        <v>278</v>
      </c>
      <c r="H121">
        <v>4853448</v>
      </c>
      <c r="I121">
        <v>8.35</v>
      </c>
      <c r="J121">
        <v>15</v>
      </c>
    </row>
    <row r="122" spans="1:10" ht="31.5" x14ac:dyDescent="0.25">
      <c r="A122">
        <v>4873800</v>
      </c>
      <c r="B122" s="11" t="s">
        <v>318</v>
      </c>
      <c r="C122" t="s">
        <v>321</v>
      </c>
      <c r="D122" s="11" t="s">
        <v>294</v>
      </c>
      <c r="H122">
        <v>4873800</v>
      </c>
      <c r="I122">
        <v>8.4</v>
      </c>
      <c r="J122">
        <v>0</v>
      </c>
    </row>
    <row r="123" spans="1:10" x14ac:dyDescent="0.25">
      <c r="A123">
        <v>4890597</v>
      </c>
      <c r="B123" s="11" t="s">
        <v>296</v>
      </c>
      <c r="C123" t="s">
        <v>337</v>
      </c>
      <c r="D123" s="11" t="s">
        <v>278</v>
      </c>
      <c r="H123">
        <v>4890597</v>
      </c>
      <c r="I123">
        <v>3.3</v>
      </c>
      <c r="J123">
        <v>11</v>
      </c>
    </row>
    <row r="124" spans="1:10" x14ac:dyDescent="0.25">
      <c r="A124">
        <v>4892203</v>
      </c>
      <c r="B124" s="11" t="s">
        <v>267</v>
      </c>
      <c r="C124" t="s">
        <v>304</v>
      </c>
      <c r="D124" s="11" t="s">
        <v>294</v>
      </c>
      <c r="H124">
        <v>4892203</v>
      </c>
      <c r="I124">
        <v>1</v>
      </c>
      <c r="J124">
        <v>0</v>
      </c>
    </row>
    <row r="125" spans="1:10" ht="31.5" x14ac:dyDescent="0.25">
      <c r="A125">
        <v>5002625</v>
      </c>
      <c r="B125" s="11" t="s">
        <v>318</v>
      </c>
      <c r="C125" t="s">
        <v>313</v>
      </c>
      <c r="D125" s="11" t="s">
        <v>300</v>
      </c>
      <c r="H125">
        <v>5002625</v>
      </c>
      <c r="I125">
        <v>0.36</v>
      </c>
      <c r="J125">
        <v>0</v>
      </c>
    </row>
    <row r="126" spans="1:10" x14ac:dyDescent="0.25">
      <c r="A126">
        <v>5063729</v>
      </c>
      <c r="B126" s="11" t="s">
        <v>288</v>
      </c>
      <c r="C126" t="s">
        <v>331</v>
      </c>
      <c r="D126" s="11" t="s">
        <v>294</v>
      </c>
      <c r="H126">
        <v>5063729</v>
      </c>
      <c r="I126">
        <v>1.2</v>
      </c>
      <c r="J126">
        <v>0</v>
      </c>
    </row>
    <row r="127" spans="1:10" ht="31.5" x14ac:dyDescent="0.25">
      <c r="A127">
        <v>5070480</v>
      </c>
      <c r="B127" s="11" t="s">
        <v>340</v>
      </c>
      <c r="C127" t="s">
        <v>268</v>
      </c>
      <c r="D127" s="11" t="s">
        <v>269</v>
      </c>
      <c r="H127">
        <v>5070480</v>
      </c>
      <c r="I127">
        <v>0.3</v>
      </c>
      <c r="J127">
        <v>0</v>
      </c>
    </row>
    <row r="128" spans="1:10" x14ac:dyDescent="0.25">
      <c r="A128">
        <v>5091362</v>
      </c>
      <c r="B128" s="11" t="s">
        <v>288</v>
      </c>
      <c r="C128" t="s">
        <v>297</v>
      </c>
      <c r="D128" s="11" t="s">
        <v>269</v>
      </c>
      <c r="H128">
        <v>5091362</v>
      </c>
      <c r="I128">
        <v>3.89</v>
      </c>
      <c r="J128">
        <v>0</v>
      </c>
    </row>
    <row r="129" spans="1:10" x14ac:dyDescent="0.25">
      <c r="A129">
        <v>5172647</v>
      </c>
      <c r="B129" s="11" t="s">
        <v>296</v>
      </c>
      <c r="C129" t="s">
        <v>285</v>
      </c>
      <c r="D129" s="11" t="s">
        <v>278</v>
      </c>
      <c r="H129">
        <v>5172647</v>
      </c>
      <c r="I129">
        <v>86</v>
      </c>
      <c r="J129">
        <v>166</v>
      </c>
    </row>
    <row r="130" spans="1:10" x14ac:dyDescent="0.25">
      <c r="A130">
        <v>5227172</v>
      </c>
      <c r="B130" s="11" t="s">
        <v>267</v>
      </c>
      <c r="C130" t="s">
        <v>337</v>
      </c>
      <c r="D130" s="11" t="s">
        <v>278</v>
      </c>
      <c r="H130">
        <v>5227172</v>
      </c>
      <c r="I130">
        <v>16.600000000000001</v>
      </c>
      <c r="J130">
        <v>29</v>
      </c>
    </row>
    <row r="131" spans="1:10" x14ac:dyDescent="0.25">
      <c r="A131">
        <v>5231429</v>
      </c>
      <c r="B131" s="11" t="s">
        <v>288</v>
      </c>
      <c r="C131" t="s">
        <v>325</v>
      </c>
      <c r="D131" s="11" t="s">
        <v>294</v>
      </c>
      <c r="H131">
        <v>5231429</v>
      </c>
      <c r="I131">
        <v>10.6</v>
      </c>
      <c r="J131">
        <v>0</v>
      </c>
    </row>
    <row r="132" spans="1:10" ht="31.5" x14ac:dyDescent="0.25">
      <c r="A132">
        <v>5235056</v>
      </c>
      <c r="B132" s="11" t="s">
        <v>318</v>
      </c>
      <c r="C132" t="s">
        <v>330</v>
      </c>
      <c r="D132" s="11" t="s">
        <v>269</v>
      </c>
      <c r="H132">
        <v>5235056</v>
      </c>
      <c r="I132">
        <v>3</v>
      </c>
      <c r="J132">
        <v>0</v>
      </c>
    </row>
    <row r="133" spans="1:10" ht="73.5" x14ac:dyDescent="0.25">
      <c r="A133">
        <v>5285192</v>
      </c>
      <c r="B133" s="11" t="s">
        <v>324</v>
      </c>
      <c r="C133" t="s">
        <v>321</v>
      </c>
      <c r="D133" s="11" t="s">
        <v>294</v>
      </c>
      <c r="H133">
        <v>5285192</v>
      </c>
      <c r="I133">
        <v>1.6</v>
      </c>
      <c r="J133">
        <v>0</v>
      </c>
    </row>
    <row r="134" spans="1:10" ht="31.5" x14ac:dyDescent="0.25">
      <c r="A134">
        <v>5293407</v>
      </c>
      <c r="B134" s="11" t="s">
        <v>318</v>
      </c>
      <c r="C134" t="s">
        <v>496</v>
      </c>
      <c r="D134" s="11" t="s">
        <v>300</v>
      </c>
      <c r="H134">
        <v>5293407</v>
      </c>
      <c r="I134">
        <v>0.75</v>
      </c>
      <c r="J134">
        <v>0</v>
      </c>
    </row>
    <row r="135" spans="1:10" x14ac:dyDescent="0.25">
      <c r="A135">
        <v>5293571</v>
      </c>
      <c r="B135" s="11" t="s">
        <v>288</v>
      </c>
      <c r="C135" t="s">
        <v>289</v>
      </c>
      <c r="D135" s="11" t="s">
        <v>269</v>
      </c>
      <c r="H135">
        <v>5293571</v>
      </c>
      <c r="I135">
        <v>6.6</v>
      </c>
      <c r="J135">
        <v>0</v>
      </c>
    </row>
    <row r="136" spans="1:10" ht="73.5" x14ac:dyDescent="0.25">
      <c r="A136">
        <v>5312119</v>
      </c>
      <c r="B136" s="11" t="s">
        <v>324</v>
      </c>
      <c r="C136" t="s">
        <v>334</v>
      </c>
      <c r="D136" s="11" t="s">
        <v>278</v>
      </c>
      <c r="H136">
        <v>5312119</v>
      </c>
      <c r="I136">
        <v>5.05</v>
      </c>
      <c r="J136">
        <v>5</v>
      </c>
    </row>
    <row r="137" spans="1:10" ht="31.5" x14ac:dyDescent="0.25">
      <c r="A137">
        <v>5362299</v>
      </c>
      <c r="B137" s="11" t="s">
        <v>318</v>
      </c>
      <c r="C137" t="s">
        <v>283</v>
      </c>
      <c r="D137" s="11" t="s">
        <v>294</v>
      </c>
      <c r="H137">
        <v>5362299</v>
      </c>
      <c r="I137">
        <v>1.7</v>
      </c>
      <c r="J137">
        <v>0</v>
      </c>
    </row>
    <row r="138" spans="1:10" x14ac:dyDescent="0.25">
      <c r="A138">
        <v>5391602</v>
      </c>
      <c r="B138" s="11" t="s">
        <v>267</v>
      </c>
      <c r="C138" t="s">
        <v>290</v>
      </c>
      <c r="D138" s="11" t="s">
        <v>278</v>
      </c>
      <c r="H138">
        <v>5391602</v>
      </c>
      <c r="I138">
        <v>20.399999999999999</v>
      </c>
      <c r="J138">
        <v>36</v>
      </c>
    </row>
    <row r="139" spans="1:10" x14ac:dyDescent="0.25">
      <c r="A139">
        <v>5393471</v>
      </c>
      <c r="B139" s="11" t="s">
        <v>296</v>
      </c>
      <c r="C139" t="s">
        <v>304</v>
      </c>
      <c r="D139" s="11" t="s">
        <v>294</v>
      </c>
      <c r="H139">
        <v>5393471</v>
      </c>
      <c r="I139">
        <v>5.35</v>
      </c>
      <c r="J139">
        <v>0</v>
      </c>
    </row>
    <row r="140" spans="1:10" ht="31.5" x14ac:dyDescent="0.25">
      <c r="A140">
        <v>5451090</v>
      </c>
      <c r="B140" s="11" t="s">
        <v>318</v>
      </c>
      <c r="C140" t="s">
        <v>268</v>
      </c>
      <c r="D140" s="11" t="s">
        <v>300</v>
      </c>
      <c r="H140">
        <v>5451090</v>
      </c>
      <c r="I140">
        <v>0.2</v>
      </c>
      <c r="J140">
        <v>0</v>
      </c>
    </row>
    <row r="141" spans="1:10" ht="73.5" x14ac:dyDescent="0.25">
      <c r="A141">
        <v>5475959</v>
      </c>
      <c r="B141" s="11" t="s">
        <v>324</v>
      </c>
      <c r="C141" t="s">
        <v>325</v>
      </c>
      <c r="D141" s="11" t="s">
        <v>300</v>
      </c>
      <c r="H141">
        <v>5475959</v>
      </c>
      <c r="I141">
        <v>5</v>
      </c>
      <c r="J141">
        <v>0</v>
      </c>
    </row>
    <row r="142" spans="1:10" ht="31.5" x14ac:dyDescent="0.25">
      <c r="A142">
        <v>5563434</v>
      </c>
      <c r="B142" s="11" t="s">
        <v>318</v>
      </c>
      <c r="C142" t="s">
        <v>338</v>
      </c>
      <c r="D142" s="11" t="s">
        <v>269</v>
      </c>
      <c r="H142">
        <v>5563434</v>
      </c>
      <c r="I142">
        <v>4</v>
      </c>
      <c r="J142">
        <v>0</v>
      </c>
    </row>
    <row r="143" spans="1:10" ht="31.5" x14ac:dyDescent="0.25">
      <c r="A143">
        <v>5713240</v>
      </c>
      <c r="B143" s="11" t="s">
        <v>318</v>
      </c>
      <c r="C143" t="s">
        <v>331</v>
      </c>
      <c r="D143" s="11" t="s">
        <v>294</v>
      </c>
      <c r="H143">
        <v>5713240</v>
      </c>
      <c r="I143">
        <v>6</v>
      </c>
      <c r="J143">
        <v>0</v>
      </c>
    </row>
    <row r="144" spans="1:10" ht="31.5" x14ac:dyDescent="0.25">
      <c r="A144">
        <v>5741111</v>
      </c>
      <c r="B144" s="11" t="s">
        <v>340</v>
      </c>
      <c r="C144" t="s">
        <v>325</v>
      </c>
      <c r="D144" s="11" t="s">
        <v>294</v>
      </c>
      <c r="H144">
        <v>5741111</v>
      </c>
      <c r="I144">
        <v>7.5</v>
      </c>
      <c r="J144">
        <v>0</v>
      </c>
    </row>
    <row r="145" spans="1:10" ht="31.5" x14ac:dyDescent="0.25">
      <c r="A145">
        <v>5773192</v>
      </c>
      <c r="B145" s="11" t="s">
        <v>302</v>
      </c>
      <c r="C145" t="s">
        <v>325</v>
      </c>
      <c r="D145" s="11" t="s">
        <v>294</v>
      </c>
      <c r="H145">
        <v>5773192</v>
      </c>
      <c r="I145">
        <v>8.7200000000000006</v>
      </c>
      <c r="J145">
        <v>0</v>
      </c>
    </row>
    <row r="146" spans="1:10" x14ac:dyDescent="0.25">
      <c r="A146">
        <v>5792926</v>
      </c>
      <c r="B146" s="11" t="s">
        <v>288</v>
      </c>
      <c r="C146" t="s">
        <v>297</v>
      </c>
      <c r="D146" s="11" t="s">
        <v>269</v>
      </c>
      <c r="H146">
        <v>5792926</v>
      </c>
      <c r="I146">
        <v>2.0499999999999998</v>
      </c>
      <c r="J146">
        <v>0</v>
      </c>
    </row>
    <row r="147" spans="1:10" ht="31.5" x14ac:dyDescent="0.25">
      <c r="A147">
        <v>5793673</v>
      </c>
      <c r="B147" s="11" t="s">
        <v>318</v>
      </c>
      <c r="C147" t="s">
        <v>321</v>
      </c>
      <c r="D147" s="11" t="s">
        <v>294</v>
      </c>
      <c r="H147">
        <v>5793673</v>
      </c>
      <c r="I147">
        <v>5</v>
      </c>
      <c r="J147">
        <v>0</v>
      </c>
    </row>
    <row r="148" spans="1:10" x14ac:dyDescent="0.25">
      <c r="A148">
        <v>5833201</v>
      </c>
      <c r="B148" s="11" t="s">
        <v>296</v>
      </c>
      <c r="C148" t="s">
        <v>268</v>
      </c>
      <c r="D148" s="11" t="s">
        <v>269</v>
      </c>
      <c r="H148">
        <v>5833201</v>
      </c>
      <c r="I148">
        <v>4.25</v>
      </c>
      <c r="J148">
        <v>0</v>
      </c>
    </row>
    <row r="149" spans="1:10" ht="73.5" x14ac:dyDescent="0.25">
      <c r="A149">
        <v>5861633</v>
      </c>
      <c r="B149" s="11" t="s">
        <v>324</v>
      </c>
      <c r="C149" t="s">
        <v>289</v>
      </c>
      <c r="D149" s="11" t="s">
        <v>269</v>
      </c>
      <c r="H149">
        <v>5861633</v>
      </c>
      <c r="I149">
        <v>2.1</v>
      </c>
      <c r="J149">
        <v>0</v>
      </c>
    </row>
    <row r="150" spans="1:10" x14ac:dyDescent="0.25">
      <c r="A150">
        <v>5918012</v>
      </c>
      <c r="B150" s="11" t="s">
        <v>288</v>
      </c>
      <c r="C150" t="s">
        <v>364</v>
      </c>
      <c r="D150" s="11" t="s">
        <v>278</v>
      </c>
      <c r="H150">
        <v>5918012</v>
      </c>
      <c r="I150">
        <v>4.55</v>
      </c>
      <c r="J150">
        <v>36</v>
      </c>
    </row>
    <row r="151" spans="1:10" ht="94.5" x14ac:dyDescent="0.25">
      <c r="A151">
        <v>5957695</v>
      </c>
      <c r="B151" s="11" t="s">
        <v>371</v>
      </c>
      <c r="C151" t="s">
        <v>325</v>
      </c>
      <c r="D151" s="11" t="s">
        <v>294</v>
      </c>
      <c r="H151">
        <v>5957695</v>
      </c>
      <c r="I151">
        <v>3.5</v>
      </c>
      <c r="J151">
        <v>0</v>
      </c>
    </row>
    <row r="152" spans="1:10" ht="31.5" x14ac:dyDescent="0.25">
      <c r="A152">
        <v>5968921</v>
      </c>
      <c r="B152" s="11" t="s">
        <v>318</v>
      </c>
      <c r="C152" t="s">
        <v>283</v>
      </c>
      <c r="D152" s="11" t="s">
        <v>300</v>
      </c>
      <c r="H152">
        <v>5968921</v>
      </c>
      <c r="I152">
        <v>2</v>
      </c>
      <c r="J152">
        <v>0</v>
      </c>
    </row>
    <row r="153" spans="1:10" ht="73.5" x14ac:dyDescent="0.25">
      <c r="A153">
        <v>6191395</v>
      </c>
      <c r="B153" s="11" t="s">
        <v>324</v>
      </c>
      <c r="C153" t="s">
        <v>325</v>
      </c>
      <c r="D153" s="11" t="s">
        <v>300</v>
      </c>
      <c r="H153">
        <v>6191395</v>
      </c>
      <c r="I153">
        <v>6.5</v>
      </c>
      <c r="J153">
        <v>0</v>
      </c>
    </row>
    <row r="154" spans="1:10" ht="31.5" x14ac:dyDescent="0.25">
      <c r="A154">
        <v>6224406</v>
      </c>
      <c r="B154" s="11" t="s">
        <v>318</v>
      </c>
      <c r="C154" t="s">
        <v>364</v>
      </c>
      <c r="D154" s="11" t="s">
        <v>278</v>
      </c>
      <c r="H154">
        <v>6224406</v>
      </c>
      <c r="I154">
        <v>6</v>
      </c>
      <c r="J154">
        <v>25</v>
      </c>
    </row>
    <row r="155" spans="1:10" x14ac:dyDescent="0.25">
      <c r="A155">
        <v>6265472</v>
      </c>
      <c r="B155" s="11" t="s">
        <v>288</v>
      </c>
      <c r="C155" t="s">
        <v>338</v>
      </c>
      <c r="D155" s="11" t="s">
        <v>269</v>
      </c>
      <c r="H155">
        <v>6265472</v>
      </c>
      <c r="I155">
        <v>4</v>
      </c>
      <c r="J155">
        <v>0</v>
      </c>
    </row>
    <row r="156" spans="1:10" x14ac:dyDescent="0.25">
      <c r="A156">
        <v>6266118</v>
      </c>
      <c r="B156" s="11" t="s">
        <v>296</v>
      </c>
      <c r="C156" t="s">
        <v>289</v>
      </c>
      <c r="D156" s="11" t="s">
        <v>269</v>
      </c>
      <c r="H156">
        <v>6266118</v>
      </c>
      <c r="I156">
        <v>3.31</v>
      </c>
      <c r="J156">
        <v>0</v>
      </c>
    </row>
    <row r="157" spans="1:10" ht="21" x14ac:dyDescent="0.25">
      <c r="A157">
        <v>6374958</v>
      </c>
      <c r="B157" s="11" t="s">
        <v>288</v>
      </c>
      <c r="C157" t="s">
        <v>314</v>
      </c>
      <c r="D157" s="11" t="s">
        <v>300</v>
      </c>
      <c r="H157">
        <v>6374958</v>
      </c>
      <c r="I157">
        <v>2</v>
      </c>
      <c r="J157">
        <v>0</v>
      </c>
    </row>
    <row r="158" spans="1:10" x14ac:dyDescent="0.25">
      <c r="A158">
        <v>6492623</v>
      </c>
      <c r="B158" s="11" t="s">
        <v>296</v>
      </c>
      <c r="C158" t="s">
        <v>321</v>
      </c>
      <c r="D158" s="11" t="s">
        <v>294</v>
      </c>
      <c r="H158">
        <v>6492623</v>
      </c>
      <c r="I158">
        <v>6</v>
      </c>
      <c r="J158">
        <v>0</v>
      </c>
    </row>
    <row r="159" spans="1:10" x14ac:dyDescent="0.25">
      <c r="A159">
        <v>6552817</v>
      </c>
      <c r="B159" s="11" t="s">
        <v>267</v>
      </c>
      <c r="C159" t="s">
        <v>268</v>
      </c>
      <c r="D159" s="11" t="s">
        <v>269</v>
      </c>
      <c r="H159">
        <v>6552817</v>
      </c>
      <c r="I159">
        <v>3.55</v>
      </c>
      <c r="J159">
        <v>0</v>
      </c>
    </row>
    <row r="160" spans="1:10" x14ac:dyDescent="0.25">
      <c r="A160">
        <v>6650186</v>
      </c>
      <c r="B160" s="11" t="s">
        <v>267</v>
      </c>
      <c r="C160" t="s">
        <v>338</v>
      </c>
      <c r="D160" s="11" t="s">
        <v>269</v>
      </c>
      <c r="H160">
        <v>6650186</v>
      </c>
      <c r="I160">
        <v>3</v>
      </c>
      <c r="J160">
        <v>0</v>
      </c>
    </row>
    <row r="161" spans="1:10" ht="31.5" x14ac:dyDescent="0.25">
      <c r="A161">
        <v>6719009</v>
      </c>
      <c r="B161" s="11" t="s">
        <v>318</v>
      </c>
      <c r="C161" t="s">
        <v>268</v>
      </c>
      <c r="D161" s="11" t="s">
        <v>269</v>
      </c>
      <c r="H161">
        <v>6719009</v>
      </c>
      <c r="I161">
        <v>3</v>
      </c>
      <c r="J161">
        <v>0</v>
      </c>
    </row>
    <row r="162" spans="1:10" ht="73.5" x14ac:dyDescent="0.25">
      <c r="A162">
        <v>6722018</v>
      </c>
      <c r="B162" s="11" t="s">
        <v>324</v>
      </c>
      <c r="C162" t="s">
        <v>325</v>
      </c>
      <c r="D162" s="11" t="s">
        <v>300</v>
      </c>
      <c r="H162">
        <v>6722018</v>
      </c>
      <c r="I162">
        <v>57.27</v>
      </c>
      <c r="J162">
        <v>0</v>
      </c>
    </row>
    <row r="163" spans="1:10" ht="73.5" x14ac:dyDescent="0.25">
      <c r="A163">
        <v>6732891</v>
      </c>
      <c r="B163" s="11" t="s">
        <v>324</v>
      </c>
      <c r="C163" t="s">
        <v>364</v>
      </c>
      <c r="D163" s="11" t="s">
        <v>278</v>
      </c>
      <c r="H163">
        <v>6732891</v>
      </c>
      <c r="I163">
        <v>6.4</v>
      </c>
      <c r="J163">
        <v>28</v>
      </c>
    </row>
    <row r="164" spans="1:10" x14ac:dyDescent="0.25">
      <c r="A164">
        <v>6769479</v>
      </c>
      <c r="B164" s="11" t="s">
        <v>288</v>
      </c>
      <c r="C164" t="s">
        <v>314</v>
      </c>
      <c r="D164" s="11" t="s">
        <v>294</v>
      </c>
      <c r="H164">
        <v>6769479</v>
      </c>
      <c r="I164">
        <v>4</v>
      </c>
      <c r="J164">
        <v>0</v>
      </c>
    </row>
    <row r="165" spans="1:10" ht="31.5" x14ac:dyDescent="0.25">
      <c r="A165">
        <v>6790491</v>
      </c>
      <c r="B165" s="11" t="s">
        <v>340</v>
      </c>
      <c r="C165" t="s">
        <v>330</v>
      </c>
      <c r="D165" s="11" t="s">
        <v>300</v>
      </c>
      <c r="H165">
        <v>6790491</v>
      </c>
      <c r="I165">
        <v>3</v>
      </c>
      <c r="J165">
        <v>0</v>
      </c>
    </row>
    <row r="166" spans="1:10" ht="31.5" x14ac:dyDescent="0.25">
      <c r="A166">
        <v>6806376</v>
      </c>
      <c r="B166" s="11" t="s">
        <v>318</v>
      </c>
      <c r="C166" t="s">
        <v>283</v>
      </c>
      <c r="D166" s="11" t="s">
        <v>294</v>
      </c>
      <c r="H166">
        <v>6806376</v>
      </c>
      <c r="I166">
        <v>1.7</v>
      </c>
      <c r="J166">
        <v>0</v>
      </c>
    </row>
    <row r="167" spans="1:10" ht="73.5" x14ac:dyDescent="0.25">
      <c r="A167">
        <v>6836867</v>
      </c>
      <c r="B167" s="11" t="s">
        <v>324</v>
      </c>
      <c r="C167" t="s">
        <v>325</v>
      </c>
      <c r="D167" s="11" t="s">
        <v>300</v>
      </c>
      <c r="H167">
        <v>6836867</v>
      </c>
      <c r="I167">
        <v>7</v>
      </c>
      <c r="J167">
        <v>0</v>
      </c>
    </row>
    <row r="168" spans="1:10" ht="31.5" x14ac:dyDescent="0.25">
      <c r="A168">
        <v>6877163</v>
      </c>
      <c r="B168" s="11" t="s">
        <v>318</v>
      </c>
      <c r="C168" t="s">
        <v>330</v>
      </c>
      <c r="D168" s="11" t="s">
        <v>269</v>
      </c>
      <c r="H168">
        <v>6877163</v>
      </c>
      <c r="I168">
        <v>2.4</v>
      </c>
      <c r="J168">
        <v>0</v>
      </c>
    </row>
    <row r="169" spans="1:10" ht="73.5" x14ac:dyDescent="0.25">
      <c r="A169">
        <v>6907978</v>
      </c>
      <c r="B169" s="11" t="s">
        <v>324</v>
      </c>
      <c r="C169" t="s">
        <v>283</v>
      </c>
      <c r="D169" s="11" t="s">
        <v>278</v>
      </c>
      <c r="H169">
        <v>6907978</v>
      </c>
      <c r="I169">
        <v>4.2</v>
      </c>
      <c r="J169">
        <v>2</v>
      </c>
    </row>
    <row r="170" spans="1:10" ht="31.5" x14ac:dyDescent="0.25">
      <c r="A170">
        <v>6940940</v>
      </c>
      <c r="B170" s="11" t="s">
        <v>340</v>
      </c>
      <c r="C170" t="s">
        <v>285</v>
      </c>
      <c r="D170" s="11" t="s">
        <v>278</v>
      </c>
      <c r="H170">
        <v>6940940</v>
      </c>
      <c r="I170">
        <v>9.4499999999999993</v>
      </c>
      <c r="J170">
        <v>20</v>
      </c>
    </row>
    <row r="171" spans="1:10" ht="31.5" x14ac:dyDescent="0.25">
      <c r="A171">
        <v>6967411</v>
      </c>
      <c r="B171" s="11" t="s">
        <v>318</v>
      </c>
      <c r="C171" t="s">
        <v>285</v>
      </c>
      <c r="D171" s="11" t="s">
        <v>278</v>
      </c>
      <c r="H171">
        <v>6967411</v>
      </c>
      <c r="I171">
        <v>20</v>
      </c>
      <c r="J171">
        <v>26</v>
      </c>
    </row>
    <row r="172" spans="1:10" x14ac:dyDescent="0.25">
      <c r="A172">
        <v>7007714</v>
      </c>
      <c r="B172" s="11" t="s">
        <v>296</v>
      </c>
      <c r="C172" t="s">
        <v>334</v>
      </c>
      <c r="D172" s="11" t="s">
        <v>278</v>
      </c>
      <c r="H172">
        <v>7007714</v>
      </c>
      <c r="I172">
        <v>17.39</v>
      </c>
      <c r="J172">
        <v>29</v>
      </c>
    </row>
    <row r="173" spans="1:10" ht="31.5" x14ac:dyDescent="0.25">
      <c r="A173">
        <v>7044506</v>
      </c>
      <c r="B173" s="11" t="s">
        <v>318</v>
      </c>
      <c r="C173" t="s">
        <v>337</v>
      </c>
      <c r="D173" s="11" t="s">
        <v>278</v>
      </c>
      <c r="H173">
        <v>7044506</v>
      </c>
      <c r="I173">
        <v>17.75</v>
      </c>
      <c r="J173">
        <v>52</v>
      </c>
    </row>
    <row r="174" spans="1:10" ht="31.5" x14ac:dyDescent="0.25">
      <c r="A174">
        <v>7080749</v>
      </c>
      <c r="B174" s="11" t="s">
        <v>340</v>
      </c>
      <c r="C174" t="s">
        <v>314</v>
      </c>
      <c r="D174" s="11" t="s">
        <v>294</v>
      </c>
      <c r="H174">
        <v>7080749</v>
      </c>
      <c r="I174">
        <v>4</v>
      </c>
      <c r="J174">
        <v>0</v>
      </c>
    </row>
    <row r="175" spans="1:10" ht="31.5" x14ac:dyDescent="0.25">
      <c r="A175">
        <v>7135154</v>
      </c>
      <c r="B175" s="11" t="s">
        <v>318</v>
      </c>
      <c r="C175" t="s">
        <v>321</v>
      </c>
      <c r="D175" s="11" t="s">
        <v>294</v>
      </c>
      <c r="H175">
        <v>7135154</v>
      </c>
      <c r="I175">
        <v>7.3</v>
      </c>
      <c r="J175">
        <v>0</v>
      </c>
    </row>
    <row r="176" spans="1:10" ht="31.5" x14ac:dyDescent="0.25">
      <c r="A176">
        <v>7143232</v>
      </c>
      <c r="B176" s="11" t="s">
        <v>318</v>
      </c>
      <c r="C176" t="s">
        <v>321</v>
      </c>
      <c r="D176" s="11" t="s">
        <v>294</v>
      </c>
      <c r="H176">
        <v>7143232</v>
      </c>
      <c r="I176">
        <v>10.5</v>
      </c>
      <c r="J176">
        <v>0</v>
      </c>
    </row>
    <row r="177" spans="1:10" x14ac:dyDescent="0.25">
      <c r="A177">
        <v>7177985</v>
      </c>
      <c r="B177" s="11" t="s">
        <v>379</v>
      </c>
      <c r="C177" t="s">
        <v>325</v>
      </c>
      <c r="D177" s="11" t="s">
        <v>294</v>
      </c>
      <c r="H177">
        <v>7177985</v>
      </c>
      <c r="I177">
        <v>3.6</v>
      </c>
      <c r="J177">
        <v>0</v>
      </c>
    </row>
    <row r="178" spans="1:10" x14ac:dyDescent="0.25">
      <c r="A178">
        <v>7207666</v>
      </c>
      <c r="B178" s="11" t="s">
        <v>379</v>
      </c>
      <c r="C178" t="s">
        <v>325</v>
      </c>
      <c r="D178" s="11" t="s">
        <v>294</v>
      </c>
      <c r="H178">
        <v>7207666</v>
      </c>
      <c r="I178">
        <v>5.0999999999999996</v>
      </c>
      <c r="J178">
        <v>0</v>
      </c>
    </row>
    <row r="179" spans="1:10" ht="31.5" x14ac:dyDescent="0.25">
      <c r="A179">
        <v>7228496</v>
      </c>
      <c r="B179" s="11" t="s">
        <v>318</v>
      </c>
      <c r="C179" t="s">
        <v>364</v>
      </c>
      <c r="D179" s="11" t="s">
        <v>278</v>
      </c>
      <c r="H179">
        <v>7228496</v>
      </c>
      <c r="I179">
        <v>8</v>
      </c>
      <c r="J179">
        <v>22</v>
      </c>
    </row>
    <row r="180" spans="1:10" ht="31.5" x14ac:dyDescent="0.25">
      <c r="A180">
        <v>7253089</v>
      </c>
      <c r="B180" s="11" t="s">
        <v>318</v>
      </c>
      <c r="C180" t="s">
        <v>325</v>
      </c>
      <c r="D180" s="11" t="s">
        <v>300</v>
      </c>
      <c r="H180">
        <v>7253089</v>
      </c>
      <c r="I180">
        <v>5</v>
      </c>
      <c r="J180">
        <v>0</v>
      </c>
    </row>
    <row r="181" spans="1:10" x14ac:dyDescent="0.25">
      <c r="A181">
        <v>7326055</v>
      </c>
      <c r="B181" s="11" t="s">
        <v>296</v>
      </c>
      <c r="C181" t="s">
        <v>290</v>
      </c>
      <c r="D181" s="11" t="s">
        <v>278</v>
      </c>
      <c r="H181">
        <v>7326055</v>
      </c>
      <c r="I181">
        <v>25</v>
      </c>
      <c r="J181">
        <v>34</v>
      </c>
    </row>
    <row r="182" spans="1:10" ht="21" x14ac:dyDescent="0.25">
      <c r="A182">
        <v>7356784</v>
      </c>
      <c r="B182" s="12" t="s">
        <v>372</v>
      </c>
      <c r="C182" t="s">
        <v>330</v>
      </c>
      <c r="D182" s="11" t="s">
        <v>300</v>
      </c>
      <c r="H182">
        <v>7356784</v>
      </c>
      <c r="I182">
        <v>3</v>
      </c>
      <c r="J182">
        <v>0</v>
      </c>
    </row>
    <row r="183" spans="1:10" ht="31.5" x14ac:dyDescent="0.25">
      <c r="A183">
        <v>7455227</v>
      </c>
      <c r="B183" s="11" t="s">
        <v>302</v>
      </c>
      <c r="C183" t="s">
        <v>343</v>
      </c>
      <c r="D183" s="11" t="s">
        <v>269</v>
      </c>
      <c r="H183">
        <v>7455227</v>
      </c>
      <c r="I183">
        <v>0.5</v>
      </c>
      <c r="J183">
        <v>0</v>
      </c>
    </row>
    <row r="184" spans="1:10" x14ac:dyDescent="0.25">
      <c r="A184">
        <v>7471836</v>
      </c>
      <c r="B184" s="11" t="s">
        <v>288</v>
      </c>
      <c r="C184" t="s">
        <v>365</v>
      </c>
      <c r="D184" s="11" t="s">
        <v>294</v>
      </c>
      <c r="H184">
        <v>7471836</v>
      </c>
      <c r="I184">
        <v>5</v>
      </c>
      <c r="J184">
        <v>0</v>
      </c>
    </row>
    <row r="185" spans="1:10" ht="21" x14ac:dyDescent="0.25">
      <c r="A185">
        <v>7472903</v>
      </c>
      <c r="B185" s="11" t="s">
        <v>267</v>
      </c>
      <c r="C185" t="s">
        <v>314</v>
      </c>
      <c r="D185" s="11" t="s">
        <v>300</v>
      </c>
      <c r="H185">
        <v>7472903</v>
      </c>
      <c r="I185">
        <v>0.29899999999999999</v>
      </c>
      <c r="J185">
        <v>0</v>
      </c>
    </row>
    <row r="186" spans="1:10" x14ac:dyDescent="0.25">
      <c r="A186">
        <v>7555345</v>
      </c>
      <c r="B186" s="11" t="s">
        <v>288</v>
      </c>
      <c r="C186" t="s">
        <v>331</v>
      </c>
      <c r="D186" s="11" t="s">
        <v>294</v>
      </c>
      <c r="H186">
        <v>7555345</v>
      </c>
      <c r="I186">
        <v>1.25</v>
      </c>
      <c r="J186">
        <v>0</v>
      </c>
    </row>
    <row r="187" spans="1:10" ht="31.5" x14ac:dyDescent="0.25">
      <c r="A187">
        <v>7559709</v>
      </c>
      <c r="B187" s="11" t="s">
        <v>318</v>
      </c>
      <c r="C187" t="s">
        <v>321</v>
      </c>
      <c r="D187" s="11" t="s">
        <v>294</v>
      </c>
      <c r="H187">
        <v>7559709</v>
      </c>
      <c r="I187">
        <v>17</v>
      </c>
      <c r="J187">
        <v>0</v>
      </c>
    </row>
    <row r="188" spans="1:10" ht="73.5" x14ac:dyDescent="0.25">
      <c r="A188">
        <v>7663161</v>
      </c>
      <c r="B188" s="11" t="s">
        <v>324</v>
      </c>
      <c r="C188" t="s">
        <v>325</v>
      </c>
      <c r="D188" s="18" t="s">
        <v>294</v>
      </c>
      <c r="H188">
        <v>7663161</v>
      </c>
      <c r="I188">
        <v>9</v>
      </c>
      <c r="J188">
        <v>0</v>
      </c>
    </row>
    <row r="189" spans="1:10" ht="73.5" x14ac:dyDescent="0.25">
      <c r="A189">
        <v>7665554</v>
      </c>
      <c r="B189" s="11" t="s">
        <v>324</v>
      </c>
      <c r="C189" t="s">
        <v>283</v>
      </c>
      <c r="D189" s="11" t="s">
        <v>278</v>
      </c>
      <c r="H189">
        <v>7665554</v>
      </c>
      <c r="I189">
        <v>3.84</v>
      </c>
      <c r="J189">
        <v>10</v>
      </c>
    </row>
    <row r="190" spans="1:10" x14ac:dyDescent="0.25">
      <c r="A190">
        <v>7734736</v>
      </c>
      <c r="B190" s="11" t="s">
        <v>288</v>
      </c>
      <c r="C190" t="s">
        <v>325</v>
      </c>
      <c r="D190" s="11" t="s">
        <v>294</v>
      </c>
      <c r="H190">
        <v>7734736</v>
      </c>
      <c r="I190">
        <v>6.25</v>
      </c>
      <c r="J190">
        <v>0</v>
      </c>
    </row>
    <row r="191" spans="1:10" x14ac:dyDescent="0.25">
      <c r="A191">
        <v>7759833</v>
      </c>
      <c r="B191" s="11" t="s">
        <v>296</v>
      </c>
      <c r="C191" t="s">
        <v>298</v>
      </c>
      <c r="D191" s="11" t="s">
        <v>278</v>
      </c>
      <c r="H191">
        <v>7759833</v>
      </c>
      <c r="I191">
        <v>44.75</v>
      </c>
      <c r="J191">
        <v>30</v>
      </c>
    </row>
    <row r="192" spans="1:10" ht="21" x14ac:dyDescent="0.25">
      <c r="A192">
        <v>7777619</v>
      </c>
      <c r="B192" s="11" t="s">
        <v>379</v>
      </c>
      <c r="C192" t="s">
        <v>325</v>
      </c>
      <c r="D192" s="11" t="s">
        <v>300</v>
      </c>
      <c r="H192">
        <v>7777619</v>
      </c>
      <c r="I192">
        <v>4</v>
      </c>
      <c r="J192">
        <v>0</v>
      </c>
    </row>
    <row r="193" spans="1:10" ht="31.5" x14ac:dyDescent="0.25">
      <c r="A193">
        <v>7826049</v>
      </c>
      <c r="B193" s="11" t="s">
        <v>302</v>
      </c>
      <c r="C193" t="s">
        <v>285</v>
      </c>
      <c r="D193" s="11" t="s">
        <v>278</v>
      </c>
      <c r="H193">
        <v>7826049</v>
      </c>
      <c r="I193">
        <v>5.26</v>
      </c>
      <c r="J193">
        <v>15</v>
      </c>
    </row>
    <row r="194" spans="1:10" ht="31.5" x14ac:dyDescent="0.25">
      <c r="A194">
        <v>7885329</v>
      </c>
      <c r="B194" s="11" t="s">
        <v>302</v>
      </c>
      <c r="C194" t="s">
        <v>289</v>
      </c>
      <c r="D194" s="11" t="s">
        <v>269</v>
      </c>
      <c r="H194">
        <v>7885329</v>
      </c>
      <c r="I194">
        <v>4.3</v>
      </c>
      <c r="J194">
        <v>0</v>
      </c>
    </row>
    <row r="195" spans="1:10" ht="21" x14ac:dyDescent="0.25">
      <c r="A195">
        <v>7890129</v>
      </c>
      <c r="B195" s="11" t="s">
        <v>362</v>
      </c>
      <c r="C195" t="s">
        <v>343</v>
      </c>
      <c r="D195" s="11" t="s">
        <v>294</v>
      </c>
      <c r="H195">
        <v>7890129</v>
      </c>
      <c r="I195">
        <v>1.6</v>
      </c>
      <c r="J195">
        <v>0</v>
      </c>
    </row>
    <row r="196" spans="1:10" ht="73.5" x14ac:dyDescent="0.25">
      <c r="A196">
        <v>7901485</v>
      </c>
      <c r="B196" s="11" t="s">
        <v>324</v>
      </c>
      <c r="C196" t="s">
        <v>325</v>
      </c>
      <c r="D196" s="11" t="s">
        <v>300</v>
      </c>
      <c r="H196">
        <v>7901485</v>
      </c>
      <c r="I196">
        <v>16.600000000000001</v>
      </c>
      <c r="J196">
        <v>0</v>
      </c>
    </row>
    <row r="197" spans="1:10" x14ac:dyDescent="0.25">
      <c r="A197">
        <v>7923702</v>
      </c>
      <c r="B197" s="11" t="s">
        <v>379</v>
      </c>
      <c r="C197" t="s">
        <v>325</v>
      </c>
      <c r="D197" s="11" t="s">
        <v>294</v>
      </c>
      <c r="H197">
        <v>7923702</v>
      </c>
      <c r="I197">
        <v>0.45</v>
      </c>
      <c r="J197">
        <v>0</v>
      </c>
    </row>
    <row r="198" spans="1:10" ht="21" x14ac:dyDescent="0.25">
      <c r="A198">
        <v>8054292</v>
      </c>
      <c r="B198" s="11" t="s">
        <v>288</v>
      </c>
      <c r="C198" t="s">
        <v>308</v>
      </c>
      <c r="D198" s="11" t="s">
        <v>300</v>
      </c>
      <c r="H198">
        <v>8054292</v>
      </c>
      <c r="I198">
        <v>1.2</v>
      </c>
      <c r="J198">
        <v>0</v>
      </c>
    </row>
    <row r="199" spans="1:10" ht="73.5" x14ac:dyDescent="0.25">
      <c r="A199">
        <v>8170444</v>
      </c>
      <c r="B199" s="11" t="s">
        <v>324</v>
      </c>
      <c r="C199" t="s">
        <v>364</v>
      </c>
      <c r="D199" s="11" t="s">
        <v>278</v>
      </c>
      <c r="H199">
        <v>8170444</v>
      </c>
      <c r="I199">
        <v>1</v>
      </c>
      <c r="J199">
        <v>12</v>
      </c>
    </row>
    <row r="200" spans="1:10" ht="31.5" x14ac:dyDescent="0.25">
      <c r="A200">
        <v>8208204</v>
      </c>
      <c r="B200" s="11" t="s">
        <v>318</v>
      </c>
      <c r="C200" t="s">
        <v>343</v>
      </c>
      <c r="D200" s="11" t="s">
        <v>300</v>
      </c>
      <c r="H200">
        <v>8208204</v>
      </c>
      <c r="I200">
        <v>6.5</v>
      </c>
      <c r="J200">
        <v>0</v>
      </c>
    </row>
    <row r="201" spans="1:10" ht="21" x14ac:dyDescent="0.25">
      <c r="A201">
        <v>8227630</v>
      </c>
      <c r="B201" s="11" t="s">
        <v>379</v>
      </c>
      <c r="C201" t="s">
        <v>325</v>
      </c>
      <c r="D201" s="11" t="s">
        <v>300</v>
      </c>
      <c r="H201">
        <v>8227630</v>
      </c>
      <c r="I201">
        <v>3.5</v>
      </c>
      <c r="J201">
        <v>0</v>
      </c>
    </row>
    <row r="202" spans="1:10" x14ac:dyDescent="0.25">
      <c r="A202">
        <v>8306216</v>
      </c>
      <c r="B202" s="11" t="s">
        <v>288</v>
      </c>
      <c r="C202" t="s">
        <v>331</v>
      </c>
      <c r="D202" s="11" t="s">
        <v>294</v>
      </c>
      <c r="H202">
        <v>8306216</v>
      </c>
      <c r="I202">
        <v>10</v>
      </c>
      <c r="J202">
        <v>0</v>
      </c>
    </row>
    <row r="203" spans="1:10" ht="31.5" x14ac:dyDescent="0.25">
      <c r="A203">
        <v>8340162</v>
      </c>
      <c r="B203" s="11" t="s">
        <v>318</v>
      </c>
      <c r="C203" t="s">
        <v>343</v>
      </c>
      <c r="D203" s="11" t="s">
        <v>300</v>
      </c>
      <c r="H203">
        <v>8340162</v>
      </c>
      <c r="I203">
        <v>2</v>
      </c>
      <c r="J203">
        <v>0</v>
      </c>
    </row>
    <row r="204" spans="1:10" x14ac:dyDescent="0.25">
      <c r="A204">
        <v>8384795</v>
      </c>
      <c r="B204" s="11" t="s">
        <v>267</v>
      </c>
      <c r="C204" t="s">
        <v>293</v>
      </c>
      <c r="D204" s="11" t="s">
        <v>294</v>
      </c>
      <c r="H204">
        <v>8384795</v>
      </c>
      <c r="I204">
        <v>3.8</v>
      </c>
      <c r="J204">
        <v>0</v>
      </c>
    </row>
    <row r="205" spans="1:10" ht="73.5" x14ac:dyDescent="0.25">
      <c r="A205">
        <v>8396068</v>
      </c>
      <c r="B205" s="11" t="s">
        <v>324</v>
      </c>
      <c r="C205" t="s">
        <v>325</v>
      </c>
      <c r="D205" s="11" t="s">
        <v>300</v>
      </c>
      <c r="H205">
        <v>8396068</v>
      </c>
      <c r="I205">
        <v>19.54</v>
      </c>
      <c r="J205">
        <v>0</v>
      </c>
    </row>
    <row r="206" spans="1:10" x14ac:dyDescent="0.25">
      <c r="A206">
        <v>8419868</v>
      </c>
      <c r="B206" s="11" t="s">
        <v>267</v>
      </c>
      <c r="C206" t="s">
        <v>321</v>
      </c>
      <c r="D206" s="11" t="s">
        <v>294</v>
      </c>
      <c r="H206">
        <v>8419868</v>
      </c>
      <c r="I206">
        <v>20.3</v>
      </c>
      <c r="J206">
        <v>0</v>
      </c>
    </row>
    <row r="207" spans="1:10" ht="31.5" x14ac:dyDescent="0.25">
      <c r="A207">
        <v>8492814</v>
      </c>
      <c r="B207" s="11" t="s">
        <v>340</v>
      </c>
      <c r="C207" t="s">
        <v>330</v>
      </c>
      <c r="D207" s="11" t="s">
        <v>300</v>
      </c>
      <c r="H207">
        <v>8492814</v>
      </c>
      <c r="I207">
        <v>3</v>
      </c>
      <c r="J207">
        <v>0</v>
      </c>
    </row>
    <row r="208" spans="1:10" ht="31.5" x14ac:dyDescent="0.25">
      <c r="A208">
        <v>8501960</v>
      </c>
      <c r="B208" s="11" t="s">
        <v>340</v>
      </c>
      <c r="C208" t="s">
        <v>330</v>
      </c>
      <c r="D208" s="11" t="s">
        <v>269</v>
      </c>
      <c r="H208">
        <v>8501960</v>
      </c>
      <c r="I208">
        <v>1.8</v>
      </c>
      <c r="J208">
        <v>0</v>
      </c>
    </row>
    <row r="209" spans="1:10" x14ac:dyDescent="0.25">
      <c r="A209">
        <v>8533092</v>
      </c>
      <c r="B209" s="11" t="s">
        <v>288</v>
      </c>
      <c r="C209" t="s">
        <v>337</v>
      </c>
      <c r="D209" s="11" t="s">
        <v>278</v>
      </c>
      <c r="H209">
        <v>8533092</v>
      </c>
      <c r="I209">
        <v>5.35</v>
      </c>
      <c r="J209">
        <v>10</v>
      </c>
    </row>
    <row r="210" spans="1:10" x14ac:dyDescent="0.25">
      <c r="A210">
        <v>8588423</v>
      </c>
      <c r="B210" s="11" t="s">
        <v>296</v>
      </c>
      <c r="C210" t="s">
        <v>285</v>
      </c>
      <c r="D210" s="11" t="s">
        <v>278</v>
      </c>
      <c r="H210">
        <v>8588423</v>
      </c>
      <c r="I210">
        <v>15</v>
      </c>
      <c r="J210">
        <v>41</v>
      </c>
    </row>
    <row r="211" spans="1:10" x14ac:dyDescent="0.25">
      <c r="A211">
        <v>8598927</v>
      </c>
      <c r="B211" s="11" t="s">
        <v>379</v>
      </c>
      <c r="C211" t="s">
        <v>325</v>
      </c>
      <c r="D211" s="11" t="s">
        <v>294</v>
      </c>
      <c r="H211">
        <v>8598927</v>
      </c>
      <c r="I211">
        <v>3.1</v>
      </c>
      <c r="J211">
        <v>0</v>
      </c>
    </row>
    <row r="212" spans="1:10" ht="73.5" x14ac:dyDescent="0.25">
      <c r="A212">
        <v>8609487</v>
      </c>
      <c r="B212" s="11" t="s">
        <v>324</v>
      </c>
      <c r="C212" t="s">
        <v>285</v>
      </c>
      <c r="D212" s="11" t="s">
        <v>278</v>
      </c>
      <c r="H212">
        <v>8609487</v>
      </c>
      <c r="I212">
        <v>24.64</v>
      </c>
      <c r="J212">
        <v>43</v>
      </c>
    </row>
    <row r="213" spans="1:10" ht="31.5" x14ac:dyDescent="0.25">
      <c r="A213">
        <v>8696715</v>
      </c>
      <c r="B213" s="11" t="s">
        <v>340</v>
      </c>
      <c r="C213" t="s">
        <v>330</v>
      </c>
      <c r="D213" s="11" t="s">
        <v>300</v>
      </c>
      <c r="H213">
        <v>8696715</v>
      </c>
      <c r="I213">
        <v>6.2</v>
      </c>
      <c r="J213">
        <v>0</v>
      </c>
    </row>
    <row r="214" spans="1:10" ht="73.5" x14ac:dyDescent="0.25">
      <c r="A214">
        <v>8719331</v>
      </c>
      <c r="B214" s="11" t="s">
        <v>324</v>
      </c>
      <c r="C214" t="s">
        <v>325</v>
      </c>
      <c r="D214" s="11" t="s">
        <v>300</v>
      </c>
      <c r="H214">
        <v>8719331</v>
      </c>
      <c r="I214">
        <v>24.22</v>
      </c>
      <c r="J214">
        <v>0</v>
      </c>
    </row>
    <row r="215" spans="1:10" ht="21" x14ac:dyDescent="0.25">
      <c r="A215">
        <v>8752756</v>
      </c>
      <c r="B215" s="12" t="s">
        <v>372</v>
      </c>
      <c r="C215" t="s">
        <v>330</v>
      </c>
      <c r="D215" s="11" t="s">
        <v>300</v>
      </c>
      <c r="H215">
        <v>8752756</v>
      </c>
      <c r="I215">
        <v>3</v>
      </c>
      <c r="J215">
        <v>0</v>
      </c>
    </row>
    <row r="216" spans="1:10" x14ac:dyDescent="0.25">
      <c r="A216">
        <v>8760544</v>
      </c>
      <c r="B216" s="11" t="s">
        <v>296</v>
      </c>
      <c r="C216" t="s">
        <v>290</v>
      </c>
      <c r="D216" s="11" t="s">
        <v>278</v>
      </c>
      <c r="H216">
        <v>8760544</v>
      </c>
      <c r="I216">
        <v>30.25</v>
      </c>
      <c r="J216">
        <v>45</v>
      </c>
    </row>
    <row r="217" spans="1:10" ht="73.5" x14ac:dyDescent="0.25">
      <c r="A217">
        <v>8788790</v>
      </c>
      <c r="B217" s="11" t="s">
        <v>324</v>
      </c>
      <c r="C217" t="s">
        <v>285</v>
      </c>
      <c r="D217" s="11" t="s">
        <v>278</v>
      </c>
      <c r="H217">
        <v>8788790</v>
      </c>
      <c r="I217">
        <v>31</v>
      </c>
      <c r="J217">
        <v>50</v>
      </c>
    </row>
    <row r="218" spans="1:10" ht="21" x14ac:dyDescent="0.25">
      <c r="A218">
        <v>8791447</v>
      </c>
      <c r="B218" s="11" t="s">
        <v>288</v>
      </c>
      <c r="C218" t="s">
        <v>268</v>
      </c>
      <c r="D218" s="11" t="s">
        <v>300</v>
      </c>
      <c r="H218">
        <v>8791447</v>
      </c>
      <c r="I218">
        <v>1.2</v>
      </c>
      <c r="J218">
        <v>0</v>
      </c>
    </row>
    <row r="219" spans="1:10" x14ac:dyDescent="0.25">
      <c r="A219">
        <v>8899363</v>
      </c>
      <c r="B219" s="11" t="s">
        <v>288</v>
      </c>
      <c r="C219" t="s">
        <v>343</v>
      </c>
      <c r="D219" s="11" t="s">
        <v>269</v>
      </c>
      <c r="H219">
        <v>8899363</v>
      </c>
      <c r="I219">
        <v>2</v>
      </c>
      <c r="J219">
        <v>0</v>
      </c>
    </row>
    <row r="220" spans="1:10" x14ac:dyDescent="0.25">
      <c r="A220">
        <v>8900016</v>
      </c>
      <c r="B220" s="11" t="s">
        <v>296</v>
      </c>
      <c r="C220" t="s">
        <v>298</v>
      </c>
      <c r="D220" s="11" t="s">
        <v>278</v>
      </c>
      <c r="H220">
        <v>8900016</v>
      </c>
      <c r="I220">
        <v>69.52</v>
      </c>
      <c r="J220">
        <v>65</v>
      </c>
    </row>
    <row r="221" spans="1:10" ht="21" x14ac:dyDescent="0.25">
      <c r="A221">
        <v>8935632</v>
      </c>
      <c r="B221" s="12" t="s">
        <v>372</v>
      </c>
      <c r="C221" t="s">
        <v>330</v>
      </c>
      <c r="D221" s="11" t="s">
        <v>300</v>
      </c>
      <c r="H221">
        <v>8935632</v>
      </c>
      <c r="I221">
        <v>3</v>
      </c>
      <c r="J221">
        <v>0</v>
      </c>
    </row>
    <row r="222" spans="1:10" ht="21" x14ac:dyDescent="0.25">
      <c r="A222">
        <v>9015328</v>
      </c>
      <c r="B222" s="11" t="s">
        <v>288</v>
      </c>
      <c r="C222" t="s">
        <v>268</v>
      </c>
      <c r="D222" s="11" t="s">
        <v>300</v>
      </c>
      <c r="H222">
        <v>9015328</v>
      </c>
      <c r="I222">
        <v>0.8</v>
      </c>
      <c r="J222">
        <v>0</v>
      </c>
    </row>
    <row r="223" spans="1:10" ht="31.5" x14ac:dyDescent="0.25">
      <c r="A223">
        <v>9072226</v>
      </c>
      <c r="B223" s="11" t="s">
        <v>318</v>
      </c>
      <c r="C223" t="s">
        <v>308</v>
      </c>
      <c r="D223" s="11" t="s">
        <v>300</v>
      </c>
      <c r="H223">
        <v>9072226</v>
      </c>
      <c r="I223">
        <v>2.2999999999999998</v>
      </c>
      <c r="J223">
        <v>0</v>
      </c>
    </row>
    <row r="224" spans="1:10" x14ac:dyDescent="0.25">
      <c r="A224">
        <v>9076392</v>
      </c>
      <c r="B224" s="11" t="s">
        <v>296</v>
      </c>
      <c r="C224" t="s">
        <v>297</v>
      </c>
      <c r="D224" s="11" t="s">
        <v>269</v>
      </c>
      <c r="H224">
        <v>9076392</v>
      </c>
      <c r="I224">
        <v>18.28</v>
      </c>
      <c r="J224">
        <v>0</v>
      </c>
    </row>
    <row r="225" spans="1:10" x14ac:dyDescent="0.25">
      <c r="A225">
        <v>9139875</v>
      </c>
      <c r="B225" s="11" t="s">
        <v>296</v>
      </c>
      <c r="C225" t="s">
        <v>285</v>
      </c>
      <c r="D225" s="11" t="s">
        <v>278</v>
      </c>
      <c r="H225">
        <v>9139875</v>
      </c>
      <c r="I225">
        <v>27.07</v>
      </c>
      <c r="J225">
        <v>59</v>
      </c>
    </row>
    <row r="226" spans="1:10" x14ac:dyDescent="0.25">
      <c r="A226">
        <v>9220832</v>
      </c>
      <c r="B226" s="11" t="s">
        <v>267</v>
      </c>
      <c r="C226" t="s">
        <v>497</v>
      </c>
      <c r="D226" s="18" t="s">
        <v>278</v>
      </c>
      <c r="H226">
        <v>9220832</v>
      </c>
      <c r="I226">
        <v>14</v>
      </c>
      <c r="J226">
        <v>10</v>
      </c>
    </row>
    <row r="227" spans="1:10" x14ac:dyDescent="0.25">
      <c r="A227">
        <v>9266427</v>
      </c>
      <c r="B227" s="11" t="s">
        <v>296</v>
      </c>
      <c r="C227" t="s">
        <v>290</v>
      </c>
      <c r="D227" s="11" t="s">
        <v>278</v>
      </c>
      <c r="H227">
        <v>9266427</v>
      </c>
      <c r="I227">
        <v>31.74</v>
      </c>
      <c r="J227">
        <v>52</v>
      </c>
    </row>
    <row r="228" spans="1:10" ht="73.5" x14ac:dyDescent="0.25">
      <c r="A228">
        <v>9274680</v>
      </c>
      <c r="B228" s="11" t="s">
        <v>324</v>
      </c>
      <c r="C228" t="s">
        <v>290</v>
      </c>
      <c r="D228" s="11" t="s">
        <v>278</v>
      </c>
      <c r="H228">
        <v>9274680</v>
      </c>
      <c r="I228">
        <v>18.89</v>
      </c>
      <c r="J228">
        <v>24</v>
      </c>
    </row>
    <row r="229" spans="1:10" ht="73.5" x14ac:dyDescent="0.25">
      <c r="A229">
        <v>9313088</v>
      </c>
      <c r="B229" s="11" t="s">
        <v>324</v>
      </c>
      <c r="C229" t="s">
        <v>297</v>
      </c>
      <c r="D229" s="11" t="s">
        <v>269</v>
      </c>
      <c r="H229">
        <v>9313088</v>
      </c>
      <c r="I229">
        <v>2.2000000000000002</v>
      </c>
      <c r="J229">
        <v>0</v>
      </c>
    </row>
    <row r="230" spans="1:10" x14ac:dyDescent="0.25">
      <c r="A230">
        <v>9314906</v>
      </c>
      <c r="B230" s="11" t="s">
        <v>288</v>
      </c>
      <c r="C230" t="s">
        <v>297</v>
      </c>
      <c r="D230" s="11" t="s">
        <v>269</v>
      </c>
      <c r="H230">
        <v>9314906</v>
      </c>
      <c r="I230">
        <v>2.2999999999999998</v>
      </c>
      <c r="J230">
        <v>0</v>
      </c>
    </row>
    <row r="231" spans="1:10" x14ac:dyDescent="0.25">
      <c r="A231">
        <v>9321887</v>
      </c>
      <c r="B231" s="11" t="s">
        <v>288</v>
      </c>
      <c r="C231" t="s">
        <v>283</v>
      </c>
      <c r="D231" s="11" t="s">
        <v>278</v>
      </c>
      <c r="H231">
        <v>9321887</v>
      </c>
      <c r="I231">
        <v>4</v>
      </c>
      <c r="J231">
        <v>6</v>
      </c>
    </row>
    <row r="232" spans="1:10" ht="31.5" x14ac:dyDescent="0.25">
      <c r="A232">
        <v>9349276</v>
      </c>
      <c r="B232" s="11" t="s">
        <v>318</v>
      </c>
      <c r="C232" t="s">
        <v>321</v>
      </c>
      <c r="D232" s="11" t="s">
        <v>294</v>
      </c>
      <c r="H232">
        <v>9349276</v>
      </c>
      <c r="I232">
        <v>10.3</v>
      </c>
      <c r="J232">
        <v>0</v>
      </c>
    </row>
    <row r="233" spans="1:10" ht="21" x14ac:dyDescent="0.25">
      <c r="A233">
        <v>9397048</v>
      </c>
      <c r="B233" s="11" t="s">
        <v>362</v>
      </c>
      <c r="C233" t="s">
        <v>268</v>
      </c>
      <c r="D233" s="11" t="s">
        <v>300</v>
      </c>
      <c r="H233">
        <v>9397048</v>
      </c>
      <c r="I233">
        <v>0.97</v>
      </c>
      <c r="J233">
        <v>0</v>
      </c>
    </row>
    <row r="234" spans="1:10" x14ac:dyDescent="0.25">
      <c r="A234">
        <v>9450071</v>
      </c>
      <c r="B234" s="11" t="s">
        <v>296</v>
      </c>
      <c r="C234" t="s">
        <v>285</v>
      </c>
      <c r="D234" s="11" t="s">
        <v>278</v>
      </c>
      <c r="H234">
        <v>9450071</v>
      </c>
      <c r="I234">
        <v>10.26</v>
      </c>
      <c r="J234">
        <v>18</v>
      </c>
    </row>
    <row r="235" spans="1:10" ht="21" x14ac:dyDescent="0.25">
      <c r="A235">
        <v>9450189</v>
      </c>
      <c r="B235" s="11" t="s">
        <v>282</v>
      </c>
      <c r="C235" t="s">
        <v>283</v>
      </c>
      <c r="D235" s="11" t="s">
        <v>278</v>
      </c>
      <c r="H235">
        <v>9450189</v>
      </c>
      <c r="I235">
        <v>6.45</v>
      </c>
      <c r="J235">
        <v>5</v>
      </c>
    </row>
    <row r="236" spans="1:10" ht="31.5" x14ac:dyDescent="0.25">
      <c r="A236">
        <v>9543067</v>
      </c>
      <c r="B236" s="11" t="s">
        <v>318</v>
      </c>
      <c r="C236" t="s">
        <v>268</v>
      </c>
      <c r="D236" s="11" t="s">
        <v>300</v>
      </c>
      <c r="H236">
        <v>9543067</v>
      </c>
      <c r="I236">
        <v>2.75</v>
      </c>
      <c r="J236">
        <v>0</v>
      </c>
    </row>
    <row r="237" spans="1:10" x14ac:dyDescent="0.25">
      <c r="A237">
        <v>9603734</v>
      </c>
      <c r="B237" s="11" t="s">
        <v>288</v>
      </c>
      <c r="C237" t="s">
        <v>289</v>
      </c>
      <c r="D237" s="11" t="s">
        <v>269</v>
      </c>
      <c r="H237">
        <v>9603734</v>
      </c>
      <c r="I237">
        <v>4.0199999999999996</v>
      </c>
      <c r="J237">
        <v>0</v>
      </c>
    </row>
    <row r="238" spans="1:10" x14ac:dyDescent="0.25">
      <c r="A238">
        <v>9621480</v>
      </c>
      <c r="B238" s="11" t="s">
        <v>296</v>
      </c>
      <c r="C238" t="s">
        <v>290</v>
      </c>
      <c r="D238" s="11" t="s">
        <v>278</v>
      </c>
      <c r="H238">
        <v>9621480</v>
      </c>
      <c r="I238">
        <v>32.74</v>
      </c>
      <c r="J238">
        <v>60</v>
      </c>
    </row>
    <row r="239" spans="1:10" x14ac:dyDescent="0.25">
      <c r="A239">
        <v>9653966</v>
      </c>
      <c r="B239" s="11" t="s">
        <v>296</v>
      </c>
      <c r="C239" t="s">
        <v>297</v>
      </c>
      <c r="D239" s="11" t="s">
        <v>269</v>
      </c>
      <c r="H239">
        <v>9653966</v>
      </c>
      <c r="I239">
        <v>11.7</v>
      </c>
      <c r="J239">
        <v>0</v>
      </c>
    </row>
    <row r="240" spans="1:10" ht="31.5" x14ac:dyDescent="0.25">
      <c r="A240">
        <v>9725207</v>
      </c>
      <c r="B240" s="11" t="s">
        <v>318</v>
      </c>
      <c r="C240" t="s">
        <v>268</v>
      </c>
      <c r="D240" s="11" t="s">
        <v>300</v>
      </c>
      <c r="H240">
        <v>9725207</v>
      </c>
      <c r="I240">
        <v>0.2</v>
      </c>
      <c r="J240">
        <v>0</v>
      </c>
    </row>
    <row r="241" spans="1:10" x14ac:dyDescent="0.25">
      <c r="A241">
        <v>9813481</v>
      </c>
      <c r="B241" s="11" t="s">
        <v>288</v>
      </c>
      <c r="C241" t="s">
        <v>268</v>
      </c>
      <c r="D241" s="11" t="s">
        <v>269</v>
      </c>
      <c r="H241">
        <v>9813481</v>
      </c>
      <c r="I241">
        <v>5.734</v>
      </c>
      <c r="J241">
        <v>0</v>
      </c>
    </row>
    <row r="242" spans="1:10" x14ac:dyDescent="0.25">
      <c r="A242">
        <v>9835515</v>
      </c>
      <c r="B242" s="11" t="s">
        <v>296</v>
      </c>
      <c r="C242" t="s">
        <v>290</v>
      </c>
      <c r="D242" s="11" t="s">
        <v>278</v>
      </c>
      <c r="H242">
        <v>9835515</v>
      </c>
      <c r="I242">
        <v>44</v>
      </c>
      <c r="J242">
        <v>80</v>
      </c>
    </row>
    <row r="243" spans="1:10" x14ac:dyDescent="0.25">
      <c r="A243">
        <v>9860755</v>
      </c>
      <c r="B243" s="11" t="s">
        <v>288</v>
      </c>
      <c r="C243" t="s">
        <v>331</v>
      </c>
      <c r="D243" s="11" t="s">
        <v>294</v>
      </c>
      <c r="H243">
        <v>9860755</v>
      </c>
      <c r="I243">
        <v>1</v>
      </c>
      <c r="J243">
        <v>0</v>
      </c>
    </row>
    <row r="244" spans="1:10" x14ac:dyDescent="0.25">
      <c r="A244">
        <v>9864940</v>
      </c>
      <c r="B244" s="11" t="s">
        <v>267</v>
      </c>
      <c r="C244" t="s">
        <v>283</v>
      </c>
      <c r="D244" s="11" t="s">
        <v>278</v>
      </c>
      <c r="H244">
        <v>9864940</v>
      </c>
      <c r="I244">
        <v>0.38500000000000001</v>
      </c>
      <c r="J244">
        <v>4</v>
      </c>
    </row>
    <row r="245" spans="1:10" ht="31.5" x14ac:dyDescent="0.25">
      <c r="A245">
        <v>9958898</v>
      </c>
      <c r="B245" s="11" t="s">
        <v>340</v>
      </c>
      <c r="C245" t="s">
        <v>364</v>
      </c>
      <c r="D245" s="11" t="s">
        <v>278</v>
      </c>
      <c r="H245">
        <v>9958898</v>
      </c>
      <c r="I245">
        <v>4.6500000000000004</v>
      </c>
      <c r="J245">
        <v>17</v>
      </c>
    </row>
    <row r="246" spans="1:10" ht="31.5" x14ac:dyDescent="0.25">
      <c r="A246">
        <v>9964505</v>
      </c>
      <c r="B246" s="68" t="s">
        <v>318</v>
      </c>
      <c r="C246" t="s">
        <v>285</v>
      </c>
      <c r="D246" s="87" t="s">
        <v>278</v>
      </c>
      <c r="H246">
        <v>9964505</v>
      </c>
      <c r="I246">
        <v>23.4</v>
      </c>
      <c r="J246">
        <v>20</v>
      </c>
    </row>
  </sheetData>
  <autoFilter ref="H1:J1" xr:uid="{55521C0F-BB05-4985-A52C-5CAB638E9419}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9EA7D-85F0-4863-B107-81B4F15E3919}">
  <sheetPr filterMode="1"/>
  <dimension ref="A1:AM238"/>
  <sheetViews>
    <sheetView showGridLines="0" workbookViewId="0">
      <selection activeCell="X1" sqref="X1"/>
    </sheetView>
  </sheetViews>
  <sheetFormatPr defaultColWidth="9.140625" defaultRowHeight="15" outlineLevelCol="1" x14ac:dyDescent="0.25"/>
  <cols>
    <col min="1" max="1" width="4.42578125" style="84" customWidth="1"/>
    <col min="2" max="2" width="36.5703125" style="84" bestFit="1" customWidth="1"/>
    <col min="3" max="3" width="10.7109375" style="84" bestFit="1" customWidth="1"/>
    <col min="4" max="6" width="10.7109375" style="84" customWidth="1"/>
    <col min="7" max="7" width="15.28515625" style="84" customWidth="1"/>
    <col min="8" max="8" width="10.7109375" style="84" customWidth="1"/>
    <col min="9" max="9" width="36.5703125" style="84" customWidth="1"/>
    <col min="10" max="10" width="31.5703125" style="84" customWidth="1"/>
    <col min="11" max="12" width="36.5703125" style="84" customWidth="1"/>
    <col min="13" max="33" width="36.5703125" style="84" bestFit="1" customWidth="1"/>
    <col min="34" max="38" width="36.5703125" style="84" hidden="1" customWidth="1" outlineLevel="1"/>
    <col min="39" max="39" width="9.140625" style="84" collapsed="1"/>
    <col min="40" max="16384" width="9.140625" style="84"/>
  </cols>
  <sheetData>
    <row r="1" spans="1:38" x14ac:dyDescent="0.25">
      <c r="G1" s="94">
        <f>SUBTOTAL(9,G3:G237)</f>
        <v>304.87</v>
      </c>
      <c r="H1" s="94">
        <f>SUBTOTAL(9,H3:H237)</f>
        <v>303</v>
      </c>
      <c r="I1" s="94">
        <f>SUBTOTAL(9,I3:I238)</f>
        <v>278509702.49000001</v>
      </c>
      <c r="J1" s="94">
        <f t="shared" ref="J1:AG1" si="0">SUBTOTAL(9,J3:J238)</f>
        <v>206051471.56999999</v>
      </c>
      <c r="K1" s="94">
        <f t="shared" si="0"/>
        <v>171434371.41999999</v>
      </c>
      <c r="L1" s="94">
        <f t="shared" si="0"/>
        <v>141390383</v>
      </c>
      <c r="M1" s="94">
        <f t="shared" si="0"/>
        <v>29470716</v>
      </c>
      <c r="N1" s="94">
        <f t="shared" si="0"/>
        <v>0</v>
      </c>
      <c r="O1" s="94">
        <f t="shared" si="0"/>
        <v>0</v>
      </c>
      <c r="P1" s="94">
        <f t="shared" si="0"/>
        <v>0</v>
      </c>
      <c r="Q1" s="94">
        <f t="shared" si="0"/>
        <v>0</v>
      </c>
      <c r="R1" s="94">
        <f t="shared" si="0"/>
        <v>0</v>
      </c>
      <c r="S1" s="94">
        <f t="shared" si="0"/>
        <v>267743</v>
      </c>
      <c r="T1" s="94">
        <f t="shared" si="0"/>
        <v>0</v>
      </c>
      <c r="U1" s="94">
        <f t="shared" si="0"/>
        <v>0</v>
      </c>
      <c r="V1" s="94">
        <f t="shared" si="0"/>
        <v>0</v>
      </c>
      <c r="W1" s="94">
        <f t="shared" si="0"/>
        <v>0</v>
      </c>
      <c r="X1" s="94">
        <f t="shared" si="0"/>
        <v>305529.42000000004</v>
      </c>
      <c r="Y1" s="94">
        <f t="shared" si="0"/>
        <v>34617100.149999999</v>
      </c>
      <c r="Z1" s="94">
        <f t="shared" si="0"/>
        <v>30716059</v>
      </c>
      <c r="AA1" s="94">
        <f t="shared" si="0"/>
        <v>234939</v>
      </c>
      <c r="AB1" s="94">
        <f t="shared" si="0"/>
        <v>2874148.94</v>
      </c>
      <c r="AC1" s="94">
        <f t="shared" si="0"/>
        <v>0</v>
      </c>
      <c r="AD1" s="94">
        <f t="shared" si="0"/>
        <v>163440.93</v>
      </c>
      <c r="AE1" s="94">
        <f t="shared" si="0"/>
        <v>76814</v>
      </c>
      <c r="AF1" s="94">
        <f t="shared" si="0"/>
        <v>0</v>
      </c>
      <c r="AG1" s="94">
        <f t="shared" si="0"/>
        <v>551698.28</v>
      </c>
    </row>
    <row r="2" spans="1:38" ht="45" x14ac:dyDescent="0.25">
      <c r="A2" s="88"/>
      <c r="B2" s="88" t="s">
        <v>498</v>
      </c>
      <c r="C2" s="88" t="s">
        <v>480</v>
      </c>
      <c r="D2" s="88" t="s">
        <v>239</v>
      </c>
      <c r="E2" s="88" t="s">
        <v>499</v>
      </c>
      <c r="F2" s="88" t="s">
        <v>242</v>
      </c>
      <c r="G2" s="88" t="s">
        <v>500</v>
      </c>
      <c r="H2" s="88" t="s">
        <v>501</v>
      </c>
      <c r="I2" s="88" t="s">
        <v>502</v>
      </c>
      <c r="J2" s="88" t="s">
        <v>503</v>
      </c>
      <c r="K2" s="88" t="s">
        <v>504</v>
      </c>
      <c r="L2" s="88" t="s">
        <v>505</v>
      </c>
      <c r="M2" s="98" t="s">
        <v>506</v>
      </c>
      <c r="N2" s="98" t="s">
        <v>507</v>
      </c>
      <c r="O2" s="98" t="s">
        <v>508</v>
      </c>
      <c r="P2" s="98" t="s">
        <v>509</v>
      </c>
      <c r="Q2" s="98" t="s">
        <v>510</v>
      </c>
      <c r="R2" s="98" t="s">
        <v>511</v>
      </c>
      <c r="S2" s="98" t="s">
        <v>512</v>
      </c>
      <c r="T2" s="98" t="s">
        <v>513</v>
      </c>
      <c r="U2" s="98" t="s">
        <v>514</v>
      </c>
      <c r="V2" s="98" t="s">
        <v>515</v>
      </c>
      <c r="W2" s="98" t="s">
        <v>516</v>
      </c>
      <c r="X2" s="98" t="s">
        <v>517</v>
      </c>
      <c r="Y2" s="88" t="s">
        <v>518</v>
      </c>
      <c r="Z2" s="99" t="s">
        <v>519</v>
      </c>
      <c r="AA2" s="99" t="s">
        <v>520</v>
      </c>
      <c r="AB2" s="99" t="s">
        <v>521</v>
      </c>
      <c r="AC2" s="99" t="s">
        <v>522</v>
      </c>
      <c r="AD2" s="88" t="s">
        <v>523</v>
      </c>
      <c r="AE2" s="88" t="s">
        <v>524</v>
      </c>
      <c r="AF2" s="88" t="s">
        <v>525</v>
      </c>
      <c r="AG2" s="88" t="s">
        <v>526</v>
      </c>
      <c r="AH2" s="88" t="s">
        <v>527</v>
      </c>
      <c r="AI2" s="88" t="s">
        <v>528</v>
      </c>
      <c r="AJ2" s="88" t="s">
        <v>529</v>
      </c>
      <c r="AK2" s="88" t="s">
        <v>530</v>
      </c>
      <c r="AL2" s="88" t="s">
        <v>531</v>
      </c>
    </row>
    <row r="3" spans="1:38" ht="46.5" hidden="1" x14ac:dyDescent="0.25">
      <c r="A3" s="89" t="s">
        <v>532</v>
      </c>
      <c r="B3" s="90" t="s">
        <v>533</v>
      </c>
      <c r="C3" s="90">
        <v>3852372</v>
      </c>
      <c r="D3" s="90" t="str">
        <f>VLOOKUP(C3,'do průběžek'!$A$2:$D$246,2,FALSE)</f>
        <v>Obecně prospěšná společnost</v>
      </c>
      <c r="E3" s="90" t="str">
        <f>VLOOKUP(C3,'do průběžek'!$A$2:$D$246,3,FALSE)</f>
        <v>§39 - Osobní asistence</v>
      </c>
      <c r="F3" s="90" t="str">
        <f>VLOOKUP(C3,'do průběžek'!$A$2:$D$246,4,FALSE)</f>
        <v>terénní</v>
      </c>
      <c r="G3" s="90">
        <f>VLOOKUP(C3,'do průběžek'!$H$2:$J$246,2,FALSE)</f>
        <v>11.05</v>
      </c>
      <c r="H3" s="90">
        <f>VLOOKUP(C3,'do průběžek'!$H$2:$J$246,3,FALSE)</f>
        <v>0</v>
      </c>
      <c r="I3" s="91">
        <v>10469710</v>
      </c>
      <c r="J3" s="91">
        <v>4355880</v>
      </c>
      <c r="K3" s="91">
        <v>4088000</v>
      </c>
      <c r="L3" s="91">
        <v>3790000</v>
      </c>
      <c r="M3" s="91">
        <v>0</v>
      </c>
      <c r="N3" s="91">
        <v>284000</v>
      </c>
      <c r="O3" s="91">
        <v>0</v>
      </c>
      <c r="P3" s="91">
        <v>0</v>
      </c>
      <c r="Q3" s="91">
        <v>0</v>
      </c>
      <c r="R3" s="91">
        <v>0</v>
      </c>
      <c r="S3" s="91">
        <v>14000</v>
      </c>
      <c r="T3" s="91">
        <v>0</v>
      </c>
      <c r="U3" s="91">
        <v>0</v>
      </c>
      <c r="V3" s="91">
        <v>0</v>
      </c>
      <c r="W3" s="91">
        <v>0</v>
      </c>
      <c r="X3" s="91">
        <v>0</v>
      </c>
      <c r="Y3" s="91">
        <v>267880</v>
      </c>
      <c r="Z3" s="91">
        <v>267880</v>
      </c>
      <c r="AA3" s="91">
        <v>0</v>
      </c>
      <c r="AB3" s="91">
        <v>0</v>
      </c>
      <c r="AC3" s="91">
        <v>0</v>
      </c>
      <c r="AD3" s="91">
        <v>0</v>
      </c>
      <c r="AE3" s="91">
        <v>0</v>
      </c>
      <c r="AF3" s="91">
        <v>0</v>
      </c>
      <c r="AG3" s="91">
        <v>0</v>
      </c>
      <c r="AH3" s="91">
        <v>690911</v>
      </c>
      <c r="AI3" s="91">
        <v>74093</v>
      </c>
      <c r="AJ3" s="91">
        <v>0</v>
      </c>
      <c r="AK3" s="91">
        <v>616818</v>
      </c>
      <c r="AL3" s="91">
        <v>0</v>
      </c>
    </row>
    <row r="4" spans="1:38" ht="46.5" hidden="1" x14ac:dyDescent="0.25">
      <c r="A4" s="89" t="s">
        <v>532</v>
      </c>
      <c r="B4" s="90" t="s">
        <v>534</v>
      </c>
      <c r="C4" s="90">
        <v>7135154</v>
      </c>
      <c r="D4" s="90" t="str">
        <f>VLOOKUP(C4,'do průběžek'!$A$2:$D$246,2,FALSE)</f>
        <v>Obecně prospěšná společnost</v>
      </c>
      <c r="E4" s="90" t="str">
        <f>VLOOKUP(C4,'do průběžek'!$A$2:$D$246,3,FALSE)</f>
        <v>§39 - Osobní asistence</v>
      </c>
      <c r="F4" s="90" t="str">
        <f>VLOOKUP(C4,'do průběžek'!$A$2:$D$246,4,FALSE)</f>
        <v>terénní</v>
      </c>
      <c r="G4" s="90">
        <f>VLOOKUP(C4,'do průběžek'!$H$2:$J$246,2,FALSE)</f>
        <v>7.3</v>
      </c>
      <c r="H4" s="90">
        <f>VLOOKUP(C4,'do průběžek'!$H$2:$J$246,3,FALSE)</f>
        <v>0</v>
      </c>
      <c r="I4" s="91">
        <v>6876393</v>
      </c>
      <c r="J4" s="91">
        <v>3606767</v>
      </c>
      <c r="K4" s="91">
        <v>3416000</v>
      </c>
      <c r="L4" s="91">
        <v>2506000</v>
      </c>
      <c r="M4" s="91">
        <v>0</v>
      </c>
      <c r="N4" s="91">
        <v>188000</v>
      </c>
      <c r="O4" s="91">
        <v>0</v>
      </c>
      <c r="P4" s="91">
        <v>0</v>
      </c>
      <c r="Q4" s="91">
        <v>0</v>
      </c>
      <c r="R4" s="91">
        <v>0</v>
      </c>
      <c r="S4" s="91">
        <v>722000</v>
      </c>
      <c r="T4" s="91">
        <v>0</v>
      </c>
      <c r="U4" s="91">
        <v>0</v>
      </c>
      <c r="V4" s="91">
        <v>0</v>
      </c>
      <c r="W4" s="91">
        <v>0</v>
      </c>
      <c r="X4" s="91">
        <v>0</v>
      </c>
      <c r="Y4" s="91">
        <v>190767</v>
      </c>
      <c r="Z4" s="91">
        <v>190767</v>
      </c>
      <c r="AA4" s="91">
        <v>0</v>
      </c>
      <c r="AB4" s="91">
        <v>0</v>
      </c>
      <c r="AC4" s="91">
        <v>0</v>
      </c>
      <c r="AD4" s="91">
        <v>0</v>
      </c>
      <c r="AE4" s="91">
        <v>0</v>
      </c>
      <c r="AF4" s="91">
        <v>0</v>
      </c>
      <c r="AG4" s="91">
        <v>0</v>
      </c>
      <c r="AH4" s="91">
        <v>452683</v>
      </c>
      <c r="AI4" s="91">
        <v>60783</v>
      </c>
      <c r="AJ4" s="91">
        <v>0</v>
      </c>
      <c r="AK4" s="91">
        <v>391900</v>
      </c>
      <c r="AL4" s="91">
        <v>0</v>
      </c>
    </row>
    <row r="5" spans="1:38" ht="46.5" hidden="1" x14ac:dyDescent="0.25">
      <c r="A5" s="89" t="s">
        <v>532</v>
      </c>
      <c r="B5" s="90" t="s">
        <v>535</v>
      </c>
      <c r="C5" s="90">
        <v>7559709</v>
      </c>
      <c r="D5" s="90" t="str">
        <f>VLOOKUP(C5,'do průběžek'!$A$2:$D$246,2,FALSE)</f>
        <v>Obecně prospěšná společnost</v>
      </c>
      <c r="E5" s="90" t="str">
        <f>VLOOKUP(C5,'do průběžek'!$A$2:$D$246,3,FALSE)</f>
        <v>§39 - Osobní asistence</v>
      </c>
      <c r="F5" s="90" t="str">
        <f>VLOOKUP(C5,'do průběžek'!$A$2:$D$246,4,FALSE)</f>
        <v>terénní</v>
      </c>
      <c r="G5" s="90">
        <f>VLOOKUP(C5,'do průběžek'!$H$2:$J$246,2,FALSE)</f>
        <v>17</v>
      </c>
      <c r="H5" s="90">
        <f>VLOOKUP(C5,'do průběžek'!$H$2:$J$246,3,FALSE)</f>
        <v>0</v>
      </c>
      <c r="I5" s="91">
        <v>15796168</v>
      </c>
      <c r="J5" s="91">
        <v>8043547</v>
      </c>
      <c r="K5" s="91">
        <v>7463417</v>
      </c>
      <c r="L5" s="91">
        <v>5832000</v>
      </c>
      <c r="M5" s="91">
        <v>0</v>
      </c>
      <c r="N5" s="91">
        <v>290000</v>
      </c>
      <c r="O5" s="91">
        <v>0</v>
      </c>
      <c r="P5" s="91">
        <v>0</v>
      </c>
      <c r="Q5" s="91">
        <v>0</v>
      </c>
      <c r="R5" s="91">
        <v>0</v>
      </c>
      <c r="S5" s="91">
        <v>1341417</v>
      </c>
      <c r="T5" s="91">
        <v>0</v>
      </c>
      <c r="U5" s="91">
        <v>0</v>
      </c>
      <c r="V5" s="91">
        <v>0</v>
      </c>
      <c r="W5" s="91">
        <v>0</v>
      </c>
      <c r="X5" s="91">
        <v>0</v>
      </c>
      <c r="Y5" s="91">
        <v>580130</v>
      </c>
      <c r="Z5" s="91">
        <v>580130</v>
      </c>
      <c r="AA5" s="91">
        <v>0</v>
      </c>
      <c r="AB5" s="91">
        <v>0</v>
      </c>
      <c r="AC5" s="91">
        <v>0</v>
      </c>
      <c r="AD5" s="91">
        <v>0</v>
      </c>
      <c r="AE5" s="91">
        <v>0</v>
      </c>
      <c r="AF5" s="91">
        <v>0</v>
      </c>
      <c r="AG5" s="91">
        <v>0</v>
      </c>
      <c r="AH5" s="91">
        <v>1128758</v>
      </c>
      <c r="AI5" s="91">
        <v>109603</v>
      </c>
      <c r="AJ5" s="91">
        <v>0</v>
      </c>
      <c r="AK5" s="91">
        <v>1019155</v>
      </c>
      <c r="AL5" s="91">
        <v>0</v>
      </c>
    </row>
    <row r="6" spans="1:38" ht="46.5" hidden="1" x14ac:dyDescent="0.25">
      <c r="A6" s="89" t="s">
        <v>532</v>
      </c>
      <c r="B6" s="90" t="s">
        <v>536</v>
      </c>
      <c r="C6" s="90">
        <v>9349276</v>
      </c>
      <c r="D6" s="90" t="str">
        <f>VLOOKUP(C6,'do průběžek'!$A$2:$D$246,2,FALSE)</f>
        <v>Obecně prospěšná společnost</v>
      </c>
      <c r="E6" s="90" t="str">
        <f>VLOOKUP(C6,'do průběžek'!$A$2:$D$246,3,FALSE)</f>
        <v>§39 - Osobní asistence</v>
      </c>
      <c r="F6" s="90" t="str">
        <f>VLOOKUP(C6,'do průběžek'!$A$2:$D$246,4,FALSE)</f>
        <v>terénní</v>
      </c>
      <c r="G6" s="90">
        <f>VLOOKUP(C6,'do průběžek'!$H$2:$J$246,2,FALSE)</f>
        <v>10.3</v>
      </c>
      <c r="H6" s="90">
        <f>VLOOKUP(C6,'do průběžek'!$H$2:$J$246,3,FALSE)</f>
        <v>0</v>
      </c>
      <c r="I6" s="91">
        <v>9636238</v>
      </c>
      <c r="J6" s="91">
        <v>4302534</v>
      </c>
      <c r="K6" s="91">
        <v>3991929</v>
      </c>
      <c r="L6" s="91">
        <v>3531000</v>
      </c>
      <c r="M6" s="91">
        <v>0</v>
      </c>
      <c r="N6" s="91">
        <v>265000</v>
      </c>
      <c r="O6" s="91">
        <v>0</v>
      </c>
      <c r="P6" s="91">
        <v>0</v>
      </c>
      <c r="Q6" s="91">
        <v>0</v>
      </c>
      <c r="R6" s="91">
        <v>0</v>
      </c>
      <c r="S6" s="91">
        <v>195929</v>
      </c>
      <c r="T6" s="91">
        <v>0</v>
      </c>
      <c r="U6" s="91">
        <v>0</v>
      </c>
      <c r="V6" s="91">
        <v>0</v>
      </c>
      <c r="W6" s="91">
        <v>0</v>
      </c>
      <c r="X6" s="91">
        <v>0</v>
      </c>
      <c r="Y6" s="91">
        <v>310605</v>
      </c>
      <c r="Z6" s="91">
        <v>310605</v>
      </c>
      <c r="AA6" s="91">
        <v>0</v>
      </c>
      <c r="AB6" s="91">
        <v>0</v>
      </c>
      <c r="AC6" s="91">
        <v>0</v>
      </c>
      <c r="AD6" s="91">
        <v>0</v>
      </c>
      <c r="AE6" s="91">
        <v>0</v>
      </c>
      <c r="AF6" s="91">
        <v>0</v>
      </c>
      <c r="AG6" s="91">
        <v>0</v>
      </c>
      <c r="AH6" s="91">
        <v>609710</v>
      </c>
      <c r="AI6" s="91">
        <v>84679</v>
      </c>
      <c r="AJ6" s="91">
        <v>0</v>
      </c>
      <c r="AK6" s="91">
        <v>525031</v>
      </c>
      <c r="AL6" s="91">
        <v>0</v>
      </c>
    </row>
    <row r="7" spans="1:38" ht="46.5" hidden="1" x14ac:dyDescent="0.25">
      <c r="A7" s="89" t="s">
        <v>532</v>
      </c>
      <c r="B7" s="90" t="s">
        <v>537</v>
      </c>
      <c r="C7" s="90">
        <v>5793673</v>
      </c>
      <c r="D7" s="90" t="str">
        <f>VLOOKUP(C7,'do průběžek'!$A$2:$D$246,2,FALSE)</f>
        <v>Obecně prospěšná společnost</v>
      </c>
      <c r="E7" s="90" t="str">
        <f>VLOOKUP(C7,'do průběžek'!$A$2:$D$246,3,FALSE)</f>
        <v>§39 - Osobní asistence</v>
      </c>
      <c r="F7" s="90" t="str">
        <f>VLOOKUP(C7,'do průběžek'!$A$2:$D$246,4,FALSE)</f>
        <v>terénní</v>
      </c>
      <c r="G7" s="90">
        <f>VLOOKUP(C7,'do průběžek'!$H$2:$J$246,2,FALSE)</f>
        <v>5</v>
      </c>
      <c r="H7" s="90">
        <f>VLOOKUP(C7,'do průběžek'!$H$2:$J$246,3,FALSE)</f>
        <v>0</v>
      </c>
      <c r="I7" s="91">
        <v>4236755</v>
      </c>
      <c r="J7" s="91">
        <v>1816768</v>
      </c>
      <c r="K7" s="91">
        <v>1671537</v>
      </c>
      <c r="L7" s="91">
        <v>1541000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130537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145231</v>
      </c>
      <c r="Z7" s="91">
        <v>0</v>
      </c>
      <c r="AA7" s="91">
        <v>145231</v>
      </c>
      <c r="AB7" s="91">
        <v>0</v>
      </c>
      <c r="AC7" s="91">
        <v>0</v>
      </c>
      <c r="AD7" s="91">
        <v>0</v>
      </c>
      <c r="AE7" s="91">
        <v>0</v>
      </c>
      <c r="AF7" s="91">
        <v>0</v>
      </c>
      <c r="AG7" s="91">
        <v>0</v>
      </c>
      <c r="AH7" s="91">
        <v>337443</v>
      </c>
      <c r="AI7" s="91">
        <v>0</v>
      </c>
      <c r="AJ7" s="91">
        <v>0</v>
      </c>
      <c r="AK7" s="91">
        <v>337443</v>
      </c>
      <c r="AL7" s="91">
        <v>0</v>
      </c>
    </row>
    <row r="8" spans="1:38" ht="46.5" hidden="1" x14ac:dyDescent="0.25">
      <c r="A8" s="89" t="s">
        <v>532</v>
      </c>
      <c r="B8" s="90" t="s">
        <v>538</v>
      </c>
      <c r="C8" s="90">
        <v>5285192</v>
      </c>
      <c r="D8" s="90" t="str">
        <f>VLOOKUP(C8,'do průběžek'!$A$2:$D$246,2,FALSE)</f>
        <v>Příspěvková organizace zřízená územním samosprávným celkem</v>
      </c>
      <c r="E8" s="90" t="str">
        <f>VLOOKUP(C8,'do průběžek'!$A$2:$D$246,3,FALSE)</f>
        <v>§39 - Osobní asistence</v>
      </c>
      <c r="F8" s="90" t="str">
        <f>VLOOKUP(C8,'do průběžek'!$A$2:$D$246,4,FALSE)</f>
        <v>terénní</v>
      </c>
      <c r="G8" s="90">
        <f>VLOOKUP(C8,'do průběžek'!$H$2:$J$246,2,FALSE)</f>
        <v>1.6</v>
      </c>
      <c r="H8" s="90">
        <f>VLOOKUP(C8,'do průběžek'!$H$2:$J$246,3,FALSE)</f>
        <v>0</v>
      </c>
      <c r="I8" s="91">
        <v>1305469</v>
      </c>
      <c r="J8" s="91">
        <v>394000</v>
      </c>
      <c r="K8" s="91">
        <v>394000</v>
      </c>
      <c r="L8" s="91">
        <v>394000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91">
        <v>0</v>
      </c>
      <c r="AA8" s="91">
        <v>0</v>
      </c>
      <c r="AB8" s="91">
        <v>0</v>
      </c>
      <c r="AC8" s="91">
        <v>0</v>
      </c>
      <c r="AD8" s="91">
        <v>0</v>
      </c>
      <c r="AE8" s="91">
        <v>0</v>
      </c>
      <c r="AF8" s="91">
        <v>0</v>
      </c>
      <c r="AG8" s="91">
        <v>0</v>
      </c>
      <c r="AH8" s="91">
        <v>0</v>
      </c>
      <c r="AI8" s="91">
        <v>0</v>
      </c>
      <c r="AJ8" s="91">
        <v>0</v>
      </c>
      <c r="AK8" s="91">
        <v>0</v>
      </c>
      <c r="AL8" s="91">
        <v>0</v>
      </c>
    </row>
    <row r="9" spans="1:38" ht="46.5" hidden="1" x14ac:dyDescent="0.25">
      <c r="A9" s="89" t="s">
        <v>532</v>
      </c>
      <c r="B9" s="90" t="s">
        <v>539</v>
      </c>
      <c r="C9" s="90">
        <v>4873800</v>
      </c>
      <c r="D9" s="90" t="str">
        <f>VLOOKUP(C9,'do průběžek'!$A$2:$D$246,2,FALSE)</f>
        <v>Obecně prospěšná společnost</v>
      </c>
      <c r="E9" s="90" t="str">
        <f>VLOOKUP(C9,'do průběžek'!$A$2:$D$246,3,FALSE)</f>
        <v>§39 - Osobní asistence</v>
      </c>
      <c r="F9" s="90" t="str">
        <f>VLOOKUP(C9,'do průběžek'!$A$2:$D$246,4,FALSE)</f>
        <v>terénní</v>
      </c>
      <c r="G9" s="90">
        <f>VLOOKUP(C9,'do průběžek'!$H$2:$J$246,2,FALSE)</f>
        <v>8.4</v>
      </c>
      <c r="H9" s="90">
        <f>VLOOKUP(C9,'do průběžek'!$H$2:$J$246,3,FALSE)</f>
        <v>0</v>
      </c>
      <c r="I9" s="91">
        <v>7779749</v>
      </c>
      <c r="J9" s="91">
        <v>3855947</v>
      </c>
      <c r="K9" s="91">
        <v>3133149</v>
      </c>
      <c r="L9" s="91">
        <v>2740000</v>
      </c>
      <c r="M9" s="91">
        <v>0</v>
      </c>
      <c r="N9" s="91">
        <v>180000</v>
      </c>
      <c r="O9" s="91">
        <v>0</v>
      </c>
      <c r="P9" s="91">
        <v>0</v>
      </c>
      <c r="Q9" s="91">
        <v>0</v>
      </c>
      <c r="R9" s="91">
        <v>0</v>
      </c>
      <c r="S9" s="91">
        <v>193141</v>
      </c>
      <c r="T9" s="91">
        <v>0</v>
      </c>
      <c r="U9" s="91">
        <v>0</v>
      </c>
      <c r="V9" s="91">
        <v>20008</v>
      </c>
      <c r="W9" s="91">
        <v>0</v>
      </c>
      <c r="X9" s="91">
        <v>0</v>
      </c>
      <c r="Y9" s="91">
        <v>722798</v>
      </c>
      <c r="Z9" s="91">
        <v>718310</v>
      </c>
      <c r="AA9" s="91">
        <v>0</v>
      </c>
      <c r="AB9" s="91">
        <v>0</v>
      </c>
      <c r="AC9" s="91">
        <v>0</v>
      </c>
      <c r="AD9" s="91">
        <v>0</v>
      </c>
      <c r="AE9" s="91">
        <v>4488</v>
      </c>
      <c r="AF9" s="91">
        <v>0</v>
      </c>
      <c r="AG9" s="91">
        <v>0</v>
      </c>
      <c r="AH9" s="91">
        <v>1095102</v>
      </c>
      <c r="AI9" s="91">
        <v>196180</v>
      </c>
      <c r="AJ9" s="91">
        <v>284820</v>
      </c>
      <c r="AK9" s="91">
        <v>614102</v>
      </c>
      <c r="AL9" s="91">
        <v>0</v>
      </c>
    </row>
    <row r="10" spans="1:38" ht="46.5" hidden="1" x14ac:dyDescent="0.25">
      <c r="A10" s="89" t="s">
        <v>532</v>
      </c>
      <c r="B10" s="90" t="s">
        <v>540</v>
      </c>
      <c r="C10" s="90">
        <v>2049573</v>
      </c>
      <c r="D10" s="90" t="str">
        <f>VLOOKUP(C10,'do průběžek'!$A$2:$D$246,2,FALSE)</f>
        <v>Obecně prospěšná společnost</v>
      </c>
      <c r="E10" s="90" t="str">
        <f>VLOOKUP(C10,'do průběžek'!$A$2:$D$246,3,FALSE)</f>
        <v>§39 - Osobní asistence</v>
      </c>
      <c r="F10" s="90" t="str">
        <f>VLOOKUP(C10,'do průběžek'!$A$2:$D$246,4,FALSE)</f>
        <v>terénní</v>
      </c>
      <c r="G10" s="90">
        <f>VLOOKUP(C10,'do průběžek'!$H$2:$J$246,2,FALSE)</f>
        <v>29.75</v>
      </c>
      <c r="H10" s="90">
        <f>VLOOKUP(C10,'do průběžek'!$H$2:$J$246,3,FALSE)</f>
        <v>0</v>
      </c>
      <c r="I10" s="91">
        <v>27671009</v>
      </c>
      <c r="J10" s="91">
        <v>12864493</v>
      </c>
      <c r="K10" s="91">
        <v>10973000</v>
      </c>
      <c r="L10" s="91">
        <v>10333000</v>
      </c>
      <c r="M10" s="91">
        <v>0</v>
      </c>
      <c r="N10" s="91">
        <v>290000</v>
      </c>
      <c r="O10" s="91">
        <v>0</v>
      </c>
      <c r="P10" s="91">
        <v>0</v>
      </c>
      <c r="Q10" s="91">
        <v>0</v>
      </c>
      <c r="R10" s="91">
        <v>0</v>
      </c>
      <c r="S10" s="91">
        <v>350000</v>
      </c>
      <c r="T10" s="91">
        <v>0</v>
      </c>
      <c r="U10" s="91">
        <v>0</v>
      </c>
      <c r="V10" s="91">
        <v>0</v>
      </c>
      <c r="W10" s="91">
        <v>0</v>
      </c>
      <c r="X10" s="91">
        <v>0</v>
      </c>
      <c r="Y10" s="91">
        <v>1891493</v>
      </c>
      <c r="Z10" s="91">
        <v>1783169</v>
      </c>
      <c r="AA10" s="91">
        <v>0</v>
      </c>
      <c r="AB10" s="91">
        <v>0</v>
      </c>
      <c r="AC10" s="91">
        <v>0</v>
      </c>
      <c r="AD10" s="91">
        <v>43033</v>
      </c>
      <c r="AE10" s="91">
        <v>0</v>
      </c>
      <c r="AF10" s="91">
        <v>0</v>
      </c>
      <c r="AG10" s="91">
        <v>65291</v>
      </c>
      <c r="AH10" s="91">
        <v>2209689</v>
      </c>
      <c r="AI10" s="91">
        <v>100000</v>
      </c>
      <c r="AJ10" s="91">
        <v>280000</v>
      </c>
      <c r="AK10" s="91">
        <v>1829689</v>
      </c>
      <c r="AL10" s="91">
        <v>0</v>
      </c>
    </row>
    <row r="11" spans="1:38" ht="46.5" hidden="1" x14ac:dyDescent="0.25">
      <c r="A11" s="89" t="s">
        <v>532</v>
      </c>
      <c r="B11" s="90" t="s">
        <v>541</v>
      </c>
      <c r="C11" s="90">
        <v>8419868</v>
      </c>
      <c r="D11" s="90" t="str">
        <f>VLOOKUP(C11,'do průběžek'!$A$2:$D$246,2,FALSE)</f>
        <v>Ústav</v>
      </c>
      <c r="E11" s="90" t="str">
        <f>VLOOKUP(C11,'do průběžek'!$A$2:$D$246,3,FALSE)</f>
        <v>§39 - Osobní asistence</v>
      </c>
      <c r="F11" s="90" t="str">
        <f>VLOOKUP(C11,'do průběžek'!$A$2:$D$246,4,FALSE)</f>
        <v>terénní</v>
      </c>
      <c r="G11" s="90">
        <f>VLOOKUP(C11,'do průběžek'!$H$2:$J$246,2,FALSE)</f>
        <v>20.3</v>
      </c>
      <c r="H11" s="90">
        <f>VLOOKUP(C11,'do průběžek'!$H$2:$J$246,3,FALSE)</f>
        <v>0</v>
      </c>
      <c r="I11" s="91">
        <v>19244976.289999999</v>
      </c>
      <c r="J11" s="91">
        <v>8922130</v>
      </c>
      <c r="K11" s="91">
        <v>8135271</v>
      </c>
      <c r="L11" s="91">
        <v>7668842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466429</v>
      </c>
      <c r="T11" s="91">
        <v>0</v>
      </c>
      <c r="U11" s="91">
        <v>0</v>
      </c>
      <c r="V11" s="91">
        <v>0</v>
      </c>
      <c r="W11" s="91">
        <v>0</v>
      </c>
      <c r="X11" s="91">
        <v>0</v>
      </c>
      <c r="Y11" s="91">
        <v>786859</v>
      </c>
      <c r="Z11" s="91">
        <v>783228</v>
      </c>
      <c r="AA11" s="91">
        <v>0</v>
      </c>
      <c r="AB11" s="91">
        <v>0</v>
      </c>
      <c r="AC11" s="91">
        <v>0</v>
      </c>
      <c r="AD11" s="91">
        <v>0</v>
      </c>
      <c r="AE11" s="91">
        <v>3631</v>
      </c>
      <c r="AF11" s="91">
        <v>0</v>
      </c>
      <c r="AG11" s="91">
        <v>0</v>
      </c>
      <c r="AH11" s="91">
        <v>993575</v>
      </c>
      <c r="AI11" s="91">
        <v>24047</v>
      </c>
      <c r="AJ11" s="91">
        <v>61856</v>
      </c>
      <c r="AK11" s="91">
        <v>907672</v>
      </c>
      <c r="AL11" s="91">
        <v>0</v>
      </c>
    </row>
    <row r="12" spans="1:38" ht="46.5" hidden="1" x14ac:dyDescent="0.25">
      <c r="A12" s="89" t="s">
        <v>532</v>
      </c>
      <c r="B12" s="90" t="s">
        <v>542</v>
      </c>
      <c r="C12" s="90">
        <v>7143232</v>
      </c>
      <c r="D12" s="90" t="str">
        <f>VLOOKUP(C12,'do průběžek'!$A$2:$D$246,2,FALSE)</f>
        <v>Obecně prospěšná společnost</v>
      </c>
      <c r="E12" s="90" t="str">
        <f>VLOOKUP(C12,'do průběžek'!$A$2:$D$246,3,FALSE)</f>
        <v>§39 - Osobní asistence</v>
      </c>
      <c r="F12" s="90" t="str">
        <f>VLOOKUP(C12,'do průběžek'!$A$2:$D$246,4,FALSE)</f>
        <v>terénní</v>
      </c>
      <c r="G12" s="90">
        <f>VLOOKUP(C12,'do průběžek'!$H$2:$J$246,2,FALSE)</f>
        <v>10.5</v>
      </c>
      <c r="H12" s="90">
        <f>VLOOKUP(C12,'do průběžek'!$H$2:$J$246,3,FALSE)</f>
        <v>0</v>
      </c>
      <c r="I12" s="91">
        <v>10109186</v>
      </c>
      <c r="J12" s="91">
        <v>4129983</v>
      </c>
      <c r="K12" s="91">
        <v>3384937</v>
      </c>
      <c r="L12" s="91">
        <v>3271000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113937</v>
      </c>
      <c r="T12" s="91">
        <v>0</v>
      </c>
      <c r="U12" s="91">
        <v>0</v>
      </c>
      <c r="V12" s="91">
        <v>0</v>
      </c>
      <c r="W12" s="91">
        <v>0</v>
      </c>
      <c r="X12" s="91">
        <v>0</v>
      </c>
      <c r="Y12" s="91">
        <v>745046</v>
      </c>
      <c r="Z12" s="91">
        <v>713559</v>
      </c>
      <c r="AA12" s="91">
        <v>0</v>
      </c>
      <c r="AB12" s="91">
        <v>0</v>
      </c>
      <c r="AC12" s="91">
        <v>0</v>
      </c>
      <c r="AD12" s="91">
        <v>31487</v>
      </c>
      <c r="AE12" s="91">
        <v>0</v>
      </c>
      <c r="AF12" s="91">
        <v>0</v>
      </c>
      <c r="AG12" s="91">
        <v>0</v>
      </c>
      <c r="AH12" s="91">
        <v>818775</v>
      </c>
      <c r="AI12" s="91">
        <v>7951</v>
      </c>
      <c r="AJ12" s="91">
        <v>55282</v>
      </c>
      <c r="AK12" s="91">
        <v>755542</v>
      </c>
      <c r="AL12" s="91">
        <v>0</v>
      </c>
    </row>
    <row r="13" spans="1:38" ht="46.5" x14ac:dyDescent="0.25">
      <c r="A13" s="89" t="s">
        <v>532</v>
      </c>
      <c r="B13" s="90" t="s">
        <v>543</v>
      </c>
      <c r="C13" s="90">
        <v>2038560</v>
      </c>
      <c r="D13" s="90" t="str">
        <f>VLOOKUP(C13,'do průběžek'!$A$2:$D$246,2,FALSE)</f>
        <v>PO kraje</v>
      </c>
      <c r="E13" s="90" t="str">
        <f>VLOOKUP(C13,'do průběžek'!$A$2:$D$246,3,FALSE)</f>
        <v>§48 - Domovy pro osoby se zdravotním postižením</v>
      </c>
      <c r="F13" s="90" t="str">
        <f>VLOOKUP(C13,'do průběžek'!$A$2:$D$246,4,FALSE)</f>
        <v>pobytová</v>
      </c>
      <c r="G13" s="90">
        <f>VLOOKUP(C13,'do průběžek'!$H$2:$J$246,2,FALSE)</f>
        <v>6.3</v>
      </c>
      <c r="H13" s="90">
        <f>VLOOKUP(C13,'do průběžek'!$H$2:$J$246,3,FALSE)</f>
        <v>5</v>
      </c>
      <c r="I13" s="91">
        <v>4578394</v>
      </c>
      <c r="J13" s="91">
        <v>4943060.08</v>
      </c>
      <c r="K13" s="91">
        <v>4449963</v>
      </c>
      <c r="L13" s="91">
        <v>2815000</v>
      </c>
      <c r="M13" s="91">
        <v>1634963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493097.08</v>
      </c>
      <c r="Z13" s="91">
        <v>472550</v>
      </c>
      <c r="AA13" s="91">
        <v>0</v>
      </c>
      <c r="AB13" s="91">
        <v>0</v>
      </c>
      <c r="AC13" s="91">
        <v>0</v>
      </c>
      <c r="AD13" s="91">
        <v>20000</v>
      </c>
      <c r="AE13" s="91">
        <v>535</v>
      </c>
      <c r="AF13" s="91">
        <v>0</v>
      </c>
      <c r="AG13" s="91">
        <v>12.08</v>
      </c>
      <c r="AH13" s="91">
        <v>535345</v>
      </c>
      <c r="AI13" s="91">
        <v>77869</v>
      </c>
      <c r="AJ13" s="91">
        <v>27550</v>
      </c>
      <c r="AK13" s="91">
        <v>429926</v>
      </c>
      <c r="AL13" s="91">
        <v>0</v>
      </c>
    </row>
    <row r="14" spans="1:38" ht="46.5" x14ac:dyDescent="0.25">
      <c r="A14" s="89" t="s">
        <v>532</v>
      </c>
      <c r="B14" s="90" t="s">
        <v>544</v>
      </c>
      <c r="C14" s="90">
        <v>3166608</v>
      </c>
      <c r="D14" s="90" t="str">
        <f>VLOOKUP(C14,'do průběžek'!$A$2:$D$246,2,FALSE)</f>
        <v>Obecně prospěšná společnost</v>
      </c>
      <c r="E14" s="90" t="str">
        <f>VLOOKUP(C14,'do průběžek'!$A$2:$D$246,3,FALSE)</f>
        <v>§48 - Domovy pro osoby se zdravotním postižením</v>
      </c>
      <c r="F14" s="90" t="str">
        <f>VLOOKUP(C14,'do průběžek'!$A$2:$D$246,4,FALSE)</f>
        <v>pobytová</v>
      </c>
      <c r="G14" s="90">
        <f>VLOOKUP(C14,'do průběžek'!$H$2:$J$246,2,FALSE)</f>
        <v>12.75</v>
      </c>
      <c r="H14" s="90">
        <f>VLOOKUP(C14,'do průběžek'!$H$2:$J$246,3,FALSE)</f>
        <v>25</v>
      </c>
      <c r="I14" s="91">
        <v>23613970</v>
      </c>
      <c r="J14" s="91">
        <v>8130409</v>
      </c>
      <c r="K14" s="91">
        <v>5549743</v>
      </c>
      <c r="L14" s="91">
        <v>5282000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267743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2580666</v>
      </c>
      <c r="Z14" s="91">
        <v>2450727</v>
      </c>
      <c r="AA14" s="91">
        <v>129939</v>
      </c>
      <c r="AB14" s="91">
        <v>0</v>
      </c>
      <c r="AC14" s="91">
        <v>0</v>
      </c>
      <c r="AD14" s="91">
        <v>0</v>
      </c>
      <c r="AE14" s="91">
        <v>0</v>
      </c>
      <c r="AF14" s="91">
        <v>0</v>
      </c>
      <c r="AG14" s="91">
        <v>0</v>
      </c>
      <c r="AH14" s="91">
        <v>1076742</v>
      </c>
      <c r="AI14" s="91">
        <v>0</v>
      </c>
      <c r="AJ14" s="91">
        <v>0</v>
      </c>
      <c r="AK14" s="91">
        <v>1076742</v>
      </c>
      <c r="AL14" s="91">
        <v>0</v>
      </c>
    </row>
    <row r="15" spans="1:38" ht="46.5" x14ac:dyDescent="0.25">
      <c r="A15" s="89" t="s">
        <v>532</v>
      </c>
      <c r="B15" s="90" t="s">
        <v>545</v>
      </c>
      <c r="C15" s="90">
        <v>4418892</v>
      </c>
      <c r="D15" s="90" t="str">
        <f>VLOOKUP(C15,'do průběžek'!$A$2:$D$246,2,FALSE)</f>
        <v>PO kraje</v>
      </c>
      <c r="E15" s="90" t="str">
        <f>VLOOKUP(C15,'do průběžek'!$A$2:$D$246,3,FALSE)</f>
        <v>§48 - Domovy pro osoby se zdravotním postižením</v>
      </c>
      <c r="F15" s="90" t="str">
        <f>VLOOKUP(C15,'do průběžek'!$A$2:$D$246,4,FALSE)</f>
        <v>pobytová</v>
      </c>
      <c r="G15" s="90">
        <f>VLOOKUP(C15,'do průběžek'!$H$2:$J$246,2,FALSE)</f>
        <v>25.7</v>
      </c>
      <c r="H15" s="90">
        <f>VLOOKUP(C15,'do průběžek'!$H$2:$J$246,3,FALSE)</f>
        <v>40</v>
      </c>
      <c r="I15" s="91">
        <v>38027153</v>
      </c>
      <c r="J15" s="91">
        <v>20714430</v>
      </c>
      <c r="K15" s="91">
        <v>16718671</v>
      </c>
      <c r="L15" s="91">
        <v>14400591</v>
      </c>
      <c r="M15" s="91">
        <v>2318080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91">
        <v>3995759</v>
      </c>
      <c r="Z15" s="91">
        <v>3931144</v>
      </c>
      <c r="AA15" s="91">
        <v>0</v>
      </c>
      <c r="AB15" s="91">
        <v>0</v>
      </c>
      <c r="AC15" s="91">
        <v>0</v>
      </c>
      <c r="AD15" s="91">
        <v>0</v>
      </c>
      <c r="AE15" s="91">
        <v>64615</v>
      </c>
      <c r="AF15" s="91">
        <v>0</v>
      </c>
      <c r="AG15" s="91">
        <v>0</v>
      </c>
      <c r="AH15" s="91">
        <v>2427498</v>
      </c>
      <c r="AI15" s="91">
        <v>583395</v>
      </c>
      <c r="AJ15" s="91">
        <v>0</v>
      </c>
      <c r="AK15" s="91">
        <v>1844103</v>
      </c>
      <c r="AL15" s="91">
        <v>0</v>
      </c>
    </row>
    <row r="16" spans="1:38" ht="46.5" x14ac:dyDescent="0.25">
      <c r="A16" s="89" t="s">
        <v>532</v>
      </c>
      <c r="B16" s="90" t="s">
        <v>546</v>
      </c>
      <c r="C16" s="90">
        <v>1347706</v>
      </c>
      <c r="D16" s="90" t="str">
        <f>VLOOKUP(C16,'do průběžek'!$A$2:$D$246,2,FALSE)</f>
        <v>PO kraje</v>
      </c>
      <c r="E16" s="90" t="str">
        <f>VLOOKUP(C16,'do průběžek'!$A$2:$D$246,3,FALSE)</f>
        <v>§48 - Domovy pro osoby se zdravotním postižením</v>
      </c>
      <c r="F16" s="90" t="str">
        <f>VLOOKUP(C16,'do průběžek'!$A$2:$D$246,4,FALSE)</f>
        <v>pobytová</v>
      </c>
      <c r="G16" s="90">
        <f>VLOOKUP(C16,'do průběžek'!$H$2:$J$246,2,FALSE)</f>
        <v>25.1</v>
      </c>
      <c r="H16" s="90">
        <f>VLOOKUP(C16,'do průběžek'!$H$2:$J$246,3,FALSE)</f>
        <v>36</v>
      </c>
      <c r="I16" s="91">
        <v>32564437</v>
      </c>
      <c r="J16" s="91">
        <v>20909601</v>
      </c>
      <c r="K16" s="91">
        <v>16215033</v>
      </c>
      <c r="L16" s="91">
        <v>13292280</v>
      </c>
      <c r="M16" s="91">
        <v>2922753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4694568</v>
      </c>
      <c r="Z16" s="91">
        <v>4589568</v>
      </c>
      <c r="AA16" s="91">
        <v>105000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2990013</v>
      </c>
      <c r="AI16" s="91">
        <v>730000</v>
      </c>
      <c r="AJ16" s="91">
        <v>230000</v>
      </c>
      <c r="AK16" s="91">
        <v>2030013</v>
      </c>
      <c r="AL16" s="91">
        <v>0</v>
      </c>
    </row>
    <row r="17" spans="1:38" ht="46.5" x14ac:dyDescent="0.25">
      <c r="A17" s="89" t="s">
        <v>532</v>
      </c>
      <c r="B17" s="90" t="s">
        <v>547</v>
      </c>
      <c r="C17" s="90">
        <v>7759833</v>
      </c>
      <c r="D17" s="90" t="str">
        <f>VLOOKUP(C17,'do průběžek'!$A$2:$D$246,2,FALSE)</f>
        <v>PO kraje</v>
      </c>
      <c r="E17" s="90" t="str">
        <f>VLOOKUP(C17,'do průběžek'!$A$2:$D$246,3,FALSE)</f>
        <v>§48 - Domovy pro osoby se zdravotním postižením</v>
      </c>
      <c r="F17" s="90" t="str">
        <f>VLOOKUP(C17,'do průběžek'!$A$2:$D$246,4,FALSE)</f>
        <v>pobytová</v>
      </c>
      <c r="G17" s="90">
        <f>VLOOKUP(C17,'do průběžek'!$H$2:$J$246,2,FALSE)</f>
        <v>44.75</v>
      </c>
      <c r="H17" s="90">
        <f>VLOOKUP(C17,'do průběžek'!$H$2:$J$246,3,FALSE)</f>
        <v>30</v>
      </c>
      <c r="I17" s="91">
        <v>27039364.489999998</v>
      </c>
      <c r="J17" s="91">
        <v>25939389.57</v>
      </c>
      <c r="K17" s="91">
        <v>22571299.539999999</v>
      </c>
      <c r="L17" s="91">
        <v>18785512</v>
      </c>
      <c r="M17" s="91">
        <v>3587520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1">
        <v>0</v>
      </c>
      <c r="X17" s="91">
        <v>198267.54</v>
      </c>
      <c r="Y17" s="91">
        <v>3368090.03</v>
      </c>
      <c r="Z17" s="91">
        <v>3235404</v>
      </c>
      <c r="AA17" s="91">
        <v>0</v>
      </c>
      <c r="AB17" s="91">
        <v>0</v>
      </c>
      <c r="AC17" s="91">
        <v>0</v>
      </c>
      <c r="AD17" s="91">
        <v>10000</v>
      </c>
      <c r="AE17" s="91">
        <v>7664</v>
      </c>
      <c r="AF17" s="91">
        <v>0</v>
      </c>
      <c r="AG17" s="91">
        <v>115022.03</v>
      </c>
      <c r="AH17" s="91">
        <v>2825963</v>
      </c>
      <c r="AI17" s="91">
        <v>0</v>
      </c>
      <c r="AJ17" s="91">
        <v>0</v>
      </c>
      <c r="AK17" s="91">
        <v>2825963</v>
      </c>
      <c r="AL17" s="91">
        <v>0</v>
      </c>
    </row>
    <row r="18" spans="1:38" ht="46.5" x14ac:dyDescent="0.25">
      <c r="A18" s="89" t="s">
        <v>532</v>
      </c>
      <c r="B18" s="90" t="s">
        <v>548</v>
      </c>
      <c r="C18" s="90">
        <v>3152221</v>
      </c>
      <c r="D18" s="90" t="str">
        <f>VLOOKUP(C18,'do průběžek'!$A$2:$D$246,2,FALSE)</f>
        <v>PO kraje</v>
      </c>
      <c r="E18" s="90" t="str">
        <f>VLOOKUP(C18,'do průběžek'!$A$2:$D$246,3,FALSE)</f>
        <v>§48 - Domovy pro osoby se zdravotním postižením</v>
      </c>
      <c r="F18" s="90" t="str">
        <f>VLOOKUP(C18,'do průběžek'!$A$2:$D$246,4,FALSE)</f>
        <v>pobytová</v>
      </c>
      <c r="G18" s="90">
        <f>VLOOKUP(C18,'do průběžek'!$H$2:$J$246,2,FALSE)</f>
        <v>32.15</v>
      </c>
      <c r="H18" s="90">
        <f>VLOOKUP(C18,'do průběžek'!$H$2:$J$246,3,FALSE)</f>
        <v>29</v>
      </c>
      <c r="I18" s="91">
        <v>27510686</v>
      </c>
      <c r="J18" s="91">
        <v>25976807.629999999</v>
      </c>
      <c r="K18" s="91">
        <v>22859099</v>
      </c>
      <c r="L18" s="91">
        <v>18408000</v>
      </c>
      <c r="M18" s="91">
        <v>4451099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91">
        <v>0</v>
      </c>
      <c r="X18" s="91">
        <v>0</v>
      </c>
      <c r="Y18" s="91">
        <v>3117708.63</v>
      </c>
      <c r="Z18" s="91">
        <v>2538548</v>
      </c>
      <c r="AA18" s="91">
        <v>0</v>
      </c>
      <c r="AB18" s="91">
        <v>413890.63</v>
      </c>
      <c r="AC18" s="91">
        <v>0</v>
      </c>
      <c r="AD18" s="91">
        <v>0</v>
      </c>
      <c r="AE18" s="91">
        <v>0</v>
      </c>
      <c r="AF18" s="91">
        <v>0</v>
      </c>
      <c r="AG18" s="91">
        <v>165270</v>
      </c>
      <c r="AH18" s="91">
        <v>2535934</v>
      </c>
      <c r="AI18" s="91">
        <v>202803</v>
      </c>
      <c r="AJ18" s="91">
        <v>66000</v>
      </c>
      <c r="AK18" s="91">
        <v>2267131</v>
      </c>
      <c r="AL18" s="91">
        <v>0</v>
      </c>
    </row>
    <row r="19" spans="1:38" ht="46.5" x14ac:dyDescent="0.25">
      <c r="A19" s="89" t="s">
        <v>532</v>
      </c>
      <c r="B19" s="90" t="s">
        <v>549</v>
      </c>
      <c r="C19" s="90">
        <v>3438523</v>
      </c>
      <c r="D19" s="90" t="str">
        <f>VLOOKUP(C19,'do průběžek'!$A$2:$D$246,2,FALSE)</f>
        <v>PO kraje</v>
      </c>
      <c r="E19" s="90" t="str">
        <f>VLOOKUP(C19,'do průběžek'!$A$2:$D$246,3,FALSE)</f>
        <v>§48 - Domovy pro osoby se zdravotním postižením</v>
      </c>
      <c r="F19" s="90" t="str">
        <f>VLOOKUP(C19,'do průběžek'!$A$2:$D$246,4,FALSE)</f>
        <v>pobytová</v>
      </c>
      <c r="G19" s="90">
        <f>VLOOKUP(C19,'do průběžek'!$H$2:$J$246,2,FALSE)</f>
        <v>56</v>
      </c>
      <c r="H19" s="90">
        <f>VLOOKUP(C19,'do průběžek'!$H$2:$J$246,3,FALSE)</f>
        <v>48</v>
      </c>
      <c r="I19" s="91">
        <v>43317938</v>
      </c>
      <c r="J19" s="91">
        <v>38768892.509999998</v>
      </c>
      <c r="K19" s="91">
        <v>33789461.880000003</v>
      </c>
      <c r="L19" s="91">
        <v>24407000</v>
      </c>
      <c r="M19" s="91">
        <v>9275200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1">
        <v>107261.88</v>
      </c>
      <c r="Y19" s="91">
        <v>4979430.63</v>
      </c>
      <c r="Z19" s="91">
        <v>4487122</v>
      </c>
      <c r="AA19" s="91">
        <v>0</v>
      </c>
      <c r="AB19" s="91">
        <v>482082.8</v>
      </c>
      <c r="AC19" s="91">
        <v>0</v>
      </c>
      <c r="AD19" s="91">
        <v>0</v>
      </c>
      <c r="AE19" s="91">
        <v>0</v>
      </c>
      <c r="AF19" s="91">
        <v>0</v>
      </c>
      <c r="AG19" s="91">
        <v>10225.83</v>
      </c>
      <c r="AH19" s="91">
        <v>3999558</v>
      </c>
      <c r="AI19" s="91">
        <v>265468</v>
      </c>
      <c r="AJ19" s="91">
        <v>0</v>
      </c>
      <c r="AK19" s="91">
        <v>3734090</v>
      </c>
      <c r="AL19" s="91">
        <v>0</v>
      </c>
    </row>
    <row r="20" spans="1:38" ht="46.5" x14ac:dyDescent="0.25">
      <c r="A20" s="89" t="s">
        <v>532</v>
      </c>
      <c r="B20" s="90" t="s">
        <v>550</v>
      </c>
      <c r="C20" s="90">
        <v>8900016</v>
      </c>
      <c r="D20" s="90" t="str">
        <f>VLOOKUP(C20,'do průběžek'!$A$2:$D$246,2,FALSE)</f>
        <v>PO kraje</v>
      </c>
      <c r="E20" s="90" t="str">
        <f>VLOOKUP(C20,'do průběžek'!$A$2:$D$246,3,FALSE)</f>
        <v>§48 - Domovy pro osoby se zdravotním postižením</v>
      </c>
      <c r="F20" s="90" t="str">
        <f>VLOOKUP(C20,'do průběžek'!$A$2:$D$246,4,FALSE)</f>
        <v>pobytová</v>
      </c>
      <c r="G20" s="90">
        <f>VLOOKUP(C20,'do průběžek'!$H$2:$J$246,2,FALSE)</f>
        <v>69.52</v>
      </c>
      <c r="H20" s="90">
        <f>VLOOKUP(C20,'do průběžek'!$H$2:$J$246,3,FALSE)</f>
        <v>65</v>
      </c>
      <c r="I20" s="91">
        <v>59865790</v>
      </c>
      <c r="J20" s="91">
        <v>43042396.780000001</v>
      </c>
      <c r="K20" s="91">
        <v>35244750</v>
      </c>
      <c r="L20" s="91">
        <v>32290000</v>
      </c>
      <c r="M20" s="91">
        <v>2954750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91">
        <v>0</v>
      </c>
      <c r="U20" s="91">
        <v>0</v>
      </c>
      <c r="V20" s="91">
        <v>0</v>
      </c>
      <c r="W20" s="91">
        <v>0</v>
      </c>
      <c r="X20" s="91">
        <v>0</v>
      </c>
      <c r="Y20" s="91">
        <v>7797646.7800000003</v>
      </c>
      <c r="Z20" s="91">
        <v>6031672</v>
      </c>
      <c r="AA20" s="91">
        <v>0</v>
      </c>
      <c r="AB20" s="91">
        <v>1448490.51</v>
      </c>
      <c r="AC20" s="91">
        <v>0</v>
      </c>
      <c r="AD20" s="91">
        <v>132140.93</v>
      </c>
      <c r="AE20" s="91">
        <v>0</v>
      </c>
      <c r="AF20" s="91">
        <v>0</v>
      </c>
      <c r="AG20" s="91">
        <v>185343.34</v>
      </c>
      <c r="AH20" s="91">
        <v>7070751</v>
      </c>
      <c r="AI20" s="91">
        <v>1271000</v>
      </c>
      <c r="AJ20" s="91">
        <v>753059</v>
      </c>
      <c r="AK20" s="91">
        <v>5046692</v>
      </c>
      <c r="AL20" s="91">
        <v>0</v>
      </c>
    </row>
    <row r="21" spans="1:38" ht="46.5" hidden="1" x14ac:dyDescent="0.25">
      <c r="A21" s="89" t="s">
        <v>532</v>
      </c>
      <c r="B21" s="90" t="s">
        <v>551</v>
      </c>
      <c r="C21" s="90">
        <v>4530859</v>
      </c>
      <c r="D21" s="90" t="str">
        <f>VLOOKUP(C21,'do průběžek'!$A$2:$D$246,2,FALSE)</f>
        <v>Akciová společnost</v>
      </c>
      <c r="E21" s="90" t="str">
        <f>VLOOKUP(C21,'do průběžek'!$A$2:$D$246,3,FALSE)</f>
        <v>§49 - Domovy pro seniory</v>
      </c>
      <c r="F21" s="90" t="str">
        <f>VLOOKUP(C21,'do průběžek'!$A$2:$D$246,4,FALSE)</f>
        <v>pobytová</v>
      </c>
      <c r="G21" s="90">
        <f>VLOOKUP(C21,'do průběžek'!$H$2:$J$246,2,FALSE)</f>
        <v>18</v>
      </c>
      <c r="H21" s="90">
        <f>VLOOKUP(C21,'do průběžek'!$H$2:$J$246,3,FALSE)</f>
        <v>30</v>
      </c>
      <c r="I21" s="91">
        <v>13665063</v>
      </c>
      <c r="J21" s="91">
        <v>18195420</v>
      </c>
      <c r="K21" s="91">
        <v>5721399</v>
      </c>
      <c r="L21" s="91">
        <v>5184000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537399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91">
        <v>12474021</v>
      </c>
      <c r="Z21" s="91">
        <v>5007587</v>
      </c>
      <c r="AA21" s="91">
        <v>5075645</v>
      </c>
      <c r="AB21" s="91">
        <v>2390789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3089967</v>
      </c>
      <c r="AI21" s="91">
        <v>1075023</v>
      </c>
      <c r="AJ21" s="91">
        <v>357103</v>
      </c>
      <c r="AK21" s="91">
        <v>1512341</v>
      </c>
      <c r="AL21" s="91">
        <v>145500</v>
      </c>
    </row>
    <row r="22" spans="1:38" ht="46.5" hidden="1" x14ac:dyDescent="0.25">
      <c r="A22" s="89" t="s">
        <v>532</v>
      </c>
      <c r="B22" s="90" t="s">
        <v>552</v>
      </c>
      <c r="C22" s="90">
        <v>3001174</v>
      </c>
      <c r="D22" s="90" t="str">
        <f>VLOOKUP(C22,'do průběžek'!$A$2:$D$246,2,FALSE)</f>
        <v>Příspěvková organizace zřízená územním samosprávným celkem</v>
      </c>
      <c r="E22" s="90" t="str">
        <f>VLOOKUP(C22,'do průběžek'!$A$2:$D$246,3,FALSE)</f>
        <v>§49 - Domovy pro seniory</v>
      </c>
      <c r="F22" s="90" t="str">
        <f>VLOOKUP(C22,'do průběžek'!$A$2:$D$246,4,FALSE)</f>
        <v>pobytová</v>
      </c>
      <c r="G22" s="90">
        <f>VLOOKUP(C22,'do průběžek'!$H$2:$J$246,2,FALSE)</f>
        <v>15.75</v>
      </c>
      <c r="H22" s="90">
        <f>VLOOKUP(C22,'do průběžek'!$H$2:$J$246,3,FALSE)</f>
        <v>35</v>
      </c>
      <c r="I22" s="91">
        <v>13354574</v>
      </c>
      <c r="J22" s="91">
        <v>14005779</v>
      </c>
      <c r="K22" s="91">
        <v>9654000</v>
      </c>
      <c r="L22" s="91">
        <v>5654000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4000000</v>
      </c>
      <c r="U22" s="91">
        <v>0</v>
      </c>
      <c r="V22" s="91">
        <v>0</v>
      </c>
      <c r="W22" s="91">
        <v>0</v>
      </c>
      <c r="X22" s="91">
        <v>0</v>
      </c>
      <c r="Y22" s="91">
        <v>4351779</v>
      </c>
      <c r="Z22" s="91">
        <v>1878990</v>
      </c>
      <c r="AA22" s="91">
        <v>1355640</v>
      </c>
      <c r="AB22" s="91">
        <v>988130</v>
      </c>
      <c r="AC22" s="91">
        <v>0</v>
      </c>
      <c r="AD22" s="91">
        <v>0</v>
      </c>
      <c r="AE22" s="91">
        <v>17467</v>
      </c>
      <c r="AF22" s="91">
        <v>0</v>
      </c>
      <c r="AG22" s="91">
        <v>111552</v>
      </c>
      <c r="AH22" s="91">
        <v>2094175</v>
      </c>
      <c r="AI22" s="91">
        <v>419537</v>
      </c>
      <c r="AJ22" s="91">
        <v>0</v>
      </c>
      <c r="AK22" s="91">
        <v>1595164</v>
      </c>
      <c r="AL22" s="91">
        <v>79474</v>
      </c>
    </row>
    <row r="23" spans="1:38" ht="46.5" hidden="1" x14ac:dyDescent="0.25">
      <c r="A23" s="89" t="s">
        <v>532</v>
      </c>
      <c r="B23" s="90" t="s">
        <v>553</v>
      </c>
      <c r="C23" s="90">
        <v>8588423</v>
      </c>
      <c r="D23" s="90" t="str">
        <f>VLOOKUP(C23,'do průběžek'!$A$2:$D$246,2,FALSE)</f>
        <v>PO kraje</v>
      </c>
      <c r="E23" s="90" t="str">
        <f>VLOOKUP(C23,'do průběžek'!$A$2:$D$246,3,FALSE)</f>
        <v>§49 - Domovy pro seniory</v>
      </c>
      <c r="F23" s="90" t="str">
        <f>VLOOKUP(C23,'do průběžek'!$A$2:$D$246,4,FALSE)</f>
        <v>pobytová</v>
      </c>
      <c r="G23" s="90">
        <f>VLOOKUP(C23,'do průběžek'!$H$2:$J$246,2,FALSE)</f>
        <v>15</v>
      </c>
      <c r="H23" s="90">
        <f>VLOOKUP(C23,'do průběžek'!$H$2:$J$246,3,FALSE)</f>
        <v>41</v>
      </c>
      <c r="I23" s="91">
        <v>20493004</v>
      </c>
      <c r="J23" s="91">
        <v>12661802.09</v>
      </c>
      <c r="K23" s="91">
        <v>8401173</v>
      </c>
      <c r="L23" s="91">
        <v>5543000</v>
      </c>
      <c r="M23" s="91">
        <v>2858173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4260629.09</v>
      </c>
      <c r="Z23" s="91">
        <v>3531705</v>
      </c>
      <c r="AA23" s="91">
        <v>0</v>
      </c>
      <c r="AB23" s="91">
        <v>655234.67000000004</v>
      </c>
      <c r="AC23" s="91">
        <v>0</v>
      </c>
      <c r="AD23" s="91">
        <v>13893</v>
      </c>
      <c r="AE23" s="91">
        <v>0</v>
      </c>
      <c r="AF23" s="91">
        <v>0</v>
      </c>
      <c r="AG23" s="91">
        <v>59796.42</v>
      </c>
      <c r="AH23" s="91">
        <v>1661433</v>
      </c>
      <c r="AI23" s="91">
        <v>134785</v>
      </c>
      <c r="AJ23" s="91">
        <v>163320</v>
      </c>
      <c r="AK23" s="91">
        <v>1351688</v>
      </c>
      <c r="AL23" s="91">
        <v>11640</v>
      </c>
    </row>
    <row r="24" spans="1:38" ht="46.5" hidden="1" x14ac:dyDescent="0.25">
      <c r="A24" s="89" t="s">
        <v>532</v>
      </c>
      <c r="B24" s="90" t="s">
        <v>554</v>
      </c>
      <c r="C24" s="90">
        <v>9139875</v>
      </c>
      <c r="D24" s="90" t="str">
        <f>VLOOKUP(C24,'do průběžek'!$A$2:$D$246,2,FALSE)</f>
        <v>PO kraje</v>
      </c>
      <c r="E24" s="90" t="str">
        <f>VLOOKUP(C24,'do průběžek'!$A$2:$D$246,3,FALSE)</f>
        <v>§49 - Domovy pro seniory</v>
      </c>
      <c r="F24" s="90" t="str">
        <f>VLOOKUP(C24,'do průběžek'!$A$2:$D$246,4,FALSE)</f>
        <v>pobytová</v>
      </c>
      <c r="G24" s="90">
        <f>VLOOKUP(C24,'do průběžek'!$H$2:$J$246,2,FALSE)</f>
        <v>27.07</v>
      </c>
      <c r="H24" s="90">
        <f>VLOOKUP(C24,'do průběžek'!$H$2:$J$246,3,FALSE)</f>
        <v>59</v>
      </c>
      <c r="I24" s="91">
        <v>24566904</v>
      </c>
      <c r="J24" s="91">
        <v>22223884</v>
      </c>
      <c r="K24" s="91">
        <v>12056936</v>
      </c>
      <c r="L24" s="91">
        <v>8321000</v>
      </c>
      <c r="M24" s="91">
        <v>3735936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10166948</v>
      </c>
      <c r="Z24" s="91">
        <v>3859603</v>
      </c>
      <c r="AA24" s="91">
        <v>3748762</v>
      </c>
      <c r="AB24" s="91">
        <v>2558583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2318332</v>
      </c>
      <c r="AI24" s="91">
        <v>0</v>
      </c>
      <c r="AJ24" s="91">
        <v>0</v>
      </c>
      <c r="AK24" s="91">
        <v>2288462</v>
      </c>
      <c r="AL24" s="91">
        <v>29870</v>
      </c>
    </row>
    <row r="25" spans="1:38" ht="46.5" hidden="1" x14ac:dyDescent="0.25">
      <c r="A25" s="89" t="s">
        <v>532</v>
      </c>
      <c r="B25" s="90" t="s">
        <v>555</v>
      </c>
      <c r="C25" s="90">
        <v>9450071</v>
      </c>
      <c r="D25" s="90" t="str">
        <f>VLOOKUP(C25,'do průběžek'!$A$2:$D$246,2,FALSE)</f>
        <v>PO kraje</v>
      </c>
      <c r="E25" s="90" t="str">
        <f>VLOOKUP(C25,'do průběžek'!$A$2:$D$246,3,FALSE)</f>
        <v>§49 - Domovy pro seniory</v>
      </c>
      <c r="F25" s="90" t="str">
        <f>VLOOKUP(C25,'do průběžek'!$A$2:$D$246,4,FALSE)</f>
        <v>pobytová</v>
      </c>
      <c r="G25" s="90">
        <f>VLOOKUP(C25,'do průběžek'!$H$2:$J$246,2,FALSE)</f>
        <v>10.26</v>
      </c>
      <c r="H25" s="90">
        <f>VLOOKUP(C25,'do průběžek'!$H$2:$J$246,3,FALSE)</f>
        <v>18</v>
      </c>
      <c r="I25" s="91">
        <v>9894062</v>
      </c>
      <c r="J25" s="91">
        <v>8315189.75</v>
      </c>
      <c r="K25" s="91">
        <v>6584803</v>
      </c>
      <c r="L25" s="91">
        <v>4433000</v>
      </c>
      <c r="M25" s="91">
        <v>2136341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15462</v>
      </c>
      <c r="Y25" s="91">
        <v>1730386.75</v>
      </c>
      <c r="Z25" s="91">
        <v>1557230</v>
      </c>
      <c r="AA25" s="91">
        <v>0</v>
      </c>
      <c r="AB25" s="91">
        <v>122124.49</v>
      </c>
      <c r="AC25" s="91">
        <v>0</v>
      </c>
      <c r="AD25" s="91">
        <v>0</v>
      </c>
      <c r="AE25" s="91">
        <v>42711.5</v>
      </c>
      <c r="AF25" s="91">
        <v>0</v>
      </c>
      <c r="AG25" s="91">
        <v>8320.76</v>
      </c>
      <c r="AH25" s="91">
        <v>937663</v>
      </c>
      <c r="AI25" s="91">
        <v>61789</v>
      </c>
      <c r="AJ25" s="91">
        <v>37750</v>
      </c>
      <c r="AK25" s="91">
        <v>838124</v>
      </c>
      <c r="AL25" s="91">
        <v>0</v>
      </c>
    </row>
    <row r="26" spans="1:38" ht="46.5" hidden="1" x14ac:dyDescent="0.25">
      <c r="A26" s="89" t="s">
        <v>532</v>
      </c>
      <c r="B26" s="90" t="s">
        <v>556</v>
      </c>
      <c r="C26" s="90">
        <v>8396068</v>
      </c>
      <c r="D26" s="90" t="str">
        <f>VLOOKUP(C26,'do průběžek'!$A$2:$D$246,2,FALSE)</f>
        <v>Příspěvková organizace zřízená územním samosprávným celkem</v>
      </c>
      <c r="E26" s="90" t="str">
        <f>VLOOKUP(C26,'do průběžek'!$A$2:$D$246,3,FALSE)</f>
        <v>§40 - Pečovatelská služba</v>
      </c>
      <c r="F26" s="90" t="str">
        <f>VLOOKUP(C26,'do průběžek'!$A$2:$D$246,4,FALSE)</f>
        <v>ambulantní a terénní</v>
      </c>
      <c r="G26" s="90">
        <f>VLOOKUP(C26,'do průběžek'!$H$2:$J$246,2,FALSE)</f>
        <v>19.54</v>
      </c>
      <c r="H26" s="90">
        <f>VLOOKUP(C26,'do průběžek'!$H$2:$J$246,3,FALSE)</f>
        <v>0</v>
      </c>
      <c r="I26" s="91">
        <v>17465993</v>
      </c>
      <c r="J26" s="91">
        <v>16032405</v>
      </c>
      <c r="K26" s="91">
        <v>14685000</v>
      </c>
      <c r="L26" s="91">
        <v>4689000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46000</v>
      </c>
      <c r="T26" s="91">
        <v>9950000</v>
      </c>
      <c r="U26" s="91">
        <v>0</v>
      </c>
      <c r="V26" s="91">
        <v>0</v>
      </c>
      <c r="W26" s="91">
        <v>0</v>
      </c>
      <c r="X26" s="91">
        <v>0</v>
      </c>
      <c r="Y26" s="91">
        <v>1347405</v>
      </c>
      <c r="Z26" s="91">
        <v>1314762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32643</v>
      </c>
      <c r="AH26" s="91">
        <v>1534013</v>
      </c>
      <c r="AI26" s="91">
        <v>124938</v>
      </c>
      <c r="AJ26" s="91">
        <v>0</v>
      </c>
      <c r="AK26" s="91">
        <v>1409075</v>
      </c>
      <c r="AL26" s="91">
        <v>0</v>
      </c>
    </row>
    <row r="27" spans="1:38" ht="46.5" hidden="1" x14ac:dyDescent="0.25">
      <c r="A27" s="89" t="s">
        <v>532</v>
      </c>
      <c r="B27" s="90" t="s">
        <v>557</v>
      </c>
      <c r="C27" s="90">
        <v>6722018</v>
      </c>
      <c r="D27" s="90" t="str">
        <f>VLOOKUP(C27,'do průběžek'!$A$2:$D$246,2,FALSE)</f>
        <v>Příspěvková organizace zřízená územním samosprávným celkem</v>
      </c>
      <c r="E27" s="90" t="str">
        <f>VLOOKUP(C27,'do průběžek'!$A$2:$D$246,3,FALSE)</f>
        <v>§40 - Pečovatelská služba</v>
      </c>
      <c r="F27" s="90" t="str">
        <f>VLOOKUP(C27,'do průběžek'!$A$2:$D$246,4,FALSE)</f>
        <v>ambulantní a terénní</v>
      </c>
      <c r="G27" s="90">
        <f>VLOOKUP(C27,'do průběžek'!$H$2:$J$246,2,FALSE)</f>
        <v>57.27</v>
      </c>
      <c r="H27" s="90">
        <f>VLOOKUP(C27,'do průběžek'!$H$2:$J$246,3,FALSE)</f>
        <v>0</v>
      </c>
      <c r="I27" s="91">
        <v>52318548.329999998</v>
      </c>
      <c r="J27" s="91">
        <v>43239830.670000002</v>
      </c>
      <c r="K27" s="91">
        <v>39271344.710000001</v>
      </c>
      <c r="L27" s="91">
        <v>10577000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22773.71</v>
      </c>
      <c r="T27" s="91">
        <v>28671571</v>
      </c>
      <c r="U27" s="91">
        <v>0</v>
      </c>
      <c r="V27" s="91">
        <v>0</v>
      </c>
      <c r="W27" s="91">
        <v>0</v>
      </c>
      <c r="X27" s="91">
        <v>0</v>
      </c>
      <c r="Y27" s="91">
        <v>3968485.96</v>
      </c>
      <c r="Z27" s="91">
        <v>3955297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13188.96</v>
      </c>
      <c r="AH27" s="91">
        <v>5445896</v>
      </c>
      <c r="AI27" s="91">
        <v>717688</v>
      </c>
      <c r="AJ27" s="91">
        <v>126183</v>
      </c>
      <c r="AK27" s="91">
        <v>4602025</v>
      </c>
      <c r="AL27" s="91">
        <v>0</v>
      </c>
    </row>
    <row r="28" spans="1:38" ht="46.5" hidden="1" x14ac:dyDescent="0.25">
      <c r="A28" s="89" t="s">
        <v>532</v>
      </c>
      <c r="B28" s="90" t="s">
        <v>558</v>
      </c>
      <c r="C28" s="90">
        <v>5231429</v>
      </c>
      <c r="D28" s="90" t="str">
        <f>VLOOKUP(C28,'do průběžek'!$A$2:$D$246,2,FALSE)</f>
        <v>Spolek</v>
      </c>
      <c r="E28" s="90" t="str">
        <f>VLOOKUP(C28,'do průběžek'!$A$2:$D$246,3,FALSE)</f>
        <v>§40 - Pečovatelská služba</v>
      </c>
      <c r="F28" s="90" t="str">
        <f>VLOOKUP(C28,'do průběžek'!$A$2:$D$246,4,FALSE)</f>
        <v>terénní</v>
      </c>
      <c r="G28" s="90">
        <f>VLOOKUP(C28,'do průběžek'!$H$2:$J$246,2,FALSE)</f>
        <v>10.6</v>
      </c>
      <c r="H28" s="90">
        <f>VLOOKUP(C28,'do průběžek'!$H$2:$J$246,3,FALSE)</f>
        <v>0</v>
      </c>
      <c r="I28" s="91">
        <v>9231092</v>
      </c>
      <c r="J28" s="91">
        <v>4892083</v>
      </c>
      <c r="K28" s="91">
        <v>4219000</v>
      </c>
      <c r="L28" s="91">
        <v>3992000</v>
      </c>
      <c r="M28" s="91">
        <v>0</v>
      </c>
      <c r="N28" s="91">
        <v>227000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673083</v>
      </c>
      <c r="Z28" s="91">
        <v>666483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6600</v>
      </c>
      <c r="AH28" s="91">
        <v>753294</v>
      </c>
      <c r="AI28" s="91">
        <v>0</v>
      </c>
      <c r="AJ28" s="91">
        <v>0</v>
      </c>
      <c r="AK28" s="91">
        <v>753294</v>
      </c>
      <c r="AL28" s="91">
        <v>0</v>
      </c>
    </row>
    <row r="29" spans="1:38" ht="46.5" hidden="1" x14ac:dyDescent="0.25">
      <c r="A29" s="89" t="s">
        <v>532</v>
      </c>
      <c r="B29" s="90" t="s">
        <v>559</v>
      </c>
      <c r="C29" s="90">
        <v>5741111</v>
      </c>
      <c r="D29" s="90" t="str">
        <f>VLOOKUP(C29,'do průběžek'!$A$2:$D$246,2,FALSE)</f>
        <v>Církve a náboženské společnosti</v>
      </c>
      <c r="E29" s="90" t="str">
        <f>VLOOKUP(C29,'do průběžek'!$A$2:$D$246,3,FALSE)</f>
        <v>§40 - Pečovatelská služba</v>
      </c>
      <c r="F29" s="90" t="str">
        <f>VLOOKUP(C29,'do průběžek'!$A$2:$D$246,4,FALSE)</f>
        <v>terénní</v>
      </c>
      <c r="G29" s="90">
        <f>VLOOKUP(C29,'do průběžek'!$H$2:$J$246,2,FALSE)</f>
        <v>7.5</v>
      </c>
      <c r="H29" s="90">
        <f>VLOOKUP(C29,'do průběžek'!$H$2:$J$246,3,FALSE)</f>
        <v>0</v>
      </c>
      <c r="I29" s="91">
        <v>6963508</v>
      </c>
      <c r="J29" s="91">
        <v>4638082</v>
      </c>
      <c r="K29" s="91">
        <v>4350442</v>
      </c>
      <c r="L29" s="91">
        <v>2868000</v>
      </c>
      <c r="M29" s="91">
        <v>0</v>
      </c>
      <c r="N29" s="91">
        <v>160000</v>
      </c>
      <c r="O29" s="91">
        <v>0</v>
      </c>
      <c r="P29" s="91">
        <v>0</v>
      </c>
      <c r="Q29" s="91">
        <v>0</v>
      </c>
      <c r="R29" s="91">
        <v>0</v>
      </c>
      <c r="S29" s="91">
        <v>1236542</v>
      </c>
      <c r="T29" s="91">
        <v>0</v>
      </c>
      <c r="U29" s="91">
        <v>0</v>
      </c>
      <c r="V29" s="91">
        <v>0</v>
      </c>
      <c r="W29" s="91">
        <v>85900</v>
      </c>
      <c r="X29" s="91">
        <v>0</v>
      </c>
      <c r="Y29" s="91">
        <v>287640</v>
      </c>
      <c r="Z29" s="91">
        <v>287640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527690</v>
      </c>
      <c r="AI29" s="91">
        <v>46169</v>
      </c>
      <c r="AJ29" s="91">
        <v>30000</v>
      </c>
      <c r="AK29" s="91">
        <v>451521</v>
      </c>
      <c r="AL29" s="91">
        <v>0</v>
      </c>
    </row>
    <row r="30" spans="1:38" ht="46.5" hidden="1" x14ac:dyDescent="0.25">
      <c r="A30" s="89" t="s">
        <v>532</v>
      </c>
      <c r="B30" s="90" t="s">
        <v>560</v>
      </c>
      <c r="C30" s="90">
        <v>3632154</v>
      </c>
      <c r="D30" s="90" t="str">
        <f>VLOOKUP(C30,'do průběžek'!$A$2:$D$246,2,FALSE)</f>
        <v>Církve a náboženské společnosti</v>
      </c>
      <c r="E30" s="90" t="str">
        <f>VLOOKUP(C30,'do průběžek'!$A$2:$D$246,3,FALSE)</f>
        <v>§40 - Pečovatelská služba</v>
      </c>
      <c r="F30" s="90" t="str">
        <f>VLOOKUP(C30,'do průběžek'!$A$2:$D$246,4,FALSE)</f>
        <v>terénní</v>
      </c>
      <c r="G30" s="90">
        <f>VLOOKUP(C30,'do průběžek'!$H$2:$J$246,2,FALSE)</f>
        <v>5.5</v>
      </c>
      <c r="H30" s="90">
        <f>VLOOKUP(C30,'do průběžek'!$H$2:$J$246,3,FALSE)</f>
        <v>0</v>
      </c>
      <c r="I30" s="91">
        <v>4975506</v>
      </c>
      <c r="J30" s="91">
        <v>2288964</v>
      </c>
      <c r="K30" s="91">
        <v>2059112</v>
      </c>
      <c r="L30" s="91">
        <v>1835000</v>
      </c>
      <c r="M30" s="91">
        <v>0</v>
      </c>
      <c r="N30" s="91">
        <v>118000</v>
      </c>
      <c r="O30" s="91">
        <v>0</v>
      </c>
      <c r="P30" s="91">
        <v>0</v>
      </c>
      <c r="Q30" s="91">
        <v>0</v>
      </c>
      <c r="R30" s="91">
        <v>0</v>
      </c>
      <c r="S30" s="91">
        <v>106112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229852</v>
      </c>
      <c r="Z30" s="91">
        <v>229852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441360</v>
      </c>
      <c r="AI30" s="91">
        <v>196600</v>
      </c>
      <c r="AJ30" s="91">
        <v>0</v>
      </c>
      <c r="AK30" s="91">
        <v>244760</v>
      </c>
      <c r="AL30" s="91">
        <v>0</v>
      </c>
    </row>
    <row r="31" spans="1:38" ht="46.5" hidden="1" x14ac:dyDescent="0.25">
      <c r="A31" s="89" t="s">
        <v>532</v>
      </c>
      <c r="B31" s="90" t="s">
        <v>561</v>
      </c>
      <c r="C31" s="90">
        <v>3555154</v>
      </c>
      <c r="D31" s="90" t="str">
        <f>VLOOKUP(C31,'do průběžek'!$A$2:$D$246,2,FALSE)</f>
        <v>Příspěvková organizace zřízená územním samosprávným celkem</v>
      </c>
      <c r="E31" s="90" t="str">
        <f>VLOOKUP(C31,'do průběžek'!$A$2:$D$246,3,FALSE)</f>
        <v>§40 - Pečovatelská služba</v>
      </c>
      <c r="F31" s="90" t="str">
        <f>VLOOKUP(C31,'do průběžek'!$A$2:$D$246,4,FALSE)</f>
        <v>terénní</v>
      </c>
      <c r="G31" s="90">
        <f>VLOOKUP(C31,'do průběžek'!$H$2:$J$246,2,FALSE)</f>
        <v>2.75</v>
      </c>
      <c r="H31" s="90">
        <f>VLOOKUP(C31,'do průběžek'!$H$2:$J$246,3,FALSE)</f>
        <v>0</v>
      </c>
      <c r="I31" s="91">
        <v>2606953</v>
      </c>
      <c r="J31" s="91">
        <v>1513420</v>
      </c>
      <c r="K31" s="91">
        <v>1350000</v>
      </c>
      <c r="L31" s="91">
        <v>850000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1">
        <v>500000</v>
      </c>
      <c r="U31" s="91">
        <v>0</v>
      </c>
      <c r="V31" s="91">
        <v>0</v>
      </c>
      <c r="W31" s="91">
        <v>0</v>
      </c>
      <c r="X31" s="91">
        <v>0</v>
      </c>
      <c r="Y31" s="91">
        <v>163420</v>
      </c>
      <c r="Z31" s="91">
        <v>163420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196418</v>
      </c>
      <c r="AI31" s="91">
        <v>0</v>
      </c>
      <c r="AJ31" s="91">
        <v>0</v>
      </c>
      <c r="AK31" s="91">
        <v>196418</v>
      </c>
      <c r="AL31" s="91">
        <v>0</v>
      </c>
    </row>
    <row r="32" spans="1:38" ht="46.5" hidden="1" x14ac:dyDescent="0.25">
      <c r="A32" s="89" t="s">
        <v>532</v>
      </c>
      <c r="B32" s="90" t="s">
        <v>562</v>
      </c>
      <c r="C32" s="90">
        <v>4493554</v>
      </c>
      <c r="D32" s="90" t="str">
        <f>VLOOKUP(C32,'do průběžek'!$A$2:$D$246,2,FALSE)</f>
        <v>Příspěvková organizace zřízená územním samosprávným celkem</v>
      </c>
      <c r="E32" s="90" t="str">
        <f>VLOOKUP(C32,'do průběžek'!$A$2:$D$246,3,FALSE)</f>
        <v>§40 - Pečovatelská služba</v>
      </c>
      <c r="F32" s="90" t="str">
        <f>VLOOKUP(C32,'do průběžek'!$A$2:$D$246,4,FALSE)</f>
        <v>terénní</v>
      </c>
      <c r="G32" s="90">
        <f>VLOOKUP(C32,'do průběžek'!$H$2:$J$246,2,FALSE)</f>
        <v>3.68</v>
      </c>
      <c r="H32" s="90">
        <f>VLOOKUP(C32,'do průběžek'!$H$2:$J$246,3,FALSE)</f>
        <v>0</v>
      </c>
      <c r="I32" s="91">
        <v>3350228</v>
      </c>
      <c r="J32" s="91">
        <v>2533017.2000000002</v>
      </c>
      <c r="K32" s="91">
        <v>1981000</v>
      </c>
      <c r="L32" s="91">
        <v>1058000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1">
        <v>923000</v>
      </c>
      <c r="U32" s="91">
        <v>0</v>
      </c>
      <c r="V32" s="91">
        <v>0</v>
      </c>
      <c r="W32" s="91">
        <v>0</v>
      </c>
      <c r="X32" s="91">
        <v>0</v>
      </c>
      <c r="Y32" s="91">
        <v>552017.19999999995</v>
      </c>
      <c r="Z32" s="91">
        <v>526186</v>
      </c>
      <c r="AA32" s="91">
        <v>0</v>
      </c>
      <c r="AB32" s="91">
        <v>0</v>
      </c>
      <c r="AC32" s="91">
        <v>0</v>
      </c>
      <c r="AD32" s="91">
        <v>13680.86</v>
      </c>
      <c r="AE32" s="91">
        <v>12150.34</v>
      </c>
      <c r="AF32" s="91">
        <v>0</v>
      </c>
      <c r="AG32" s="91">
        <v>0</v>
      </c>
      <c r="AH32" s="91">
        <v>272688</v>
      </c>
      <c r="AI32" s="91">
        <v>24757</v>
      </c>
      <c r="AJ32" s="91">
        <v>0</v>
      </c>
      <c r="AK32" s="91">
        <v>247931</v>
      </c>
      <c r="AL32" s="91">
        <v>0</v>
      </c>
    </row>
    <row r="33" spans="1:38" ht="46.5" hidden="1" x14ac:dyDescent="0.25">
      <c r="A33" s="89" t="s">
        <v>532</v>
      </c>
      <c r="B33" s="90" t="s">
        <v>563</v>
      </c>
      <c r="C33" s="90">
        <v>1526260</v>
      </c>
      <c r="D33" s="90" t="str">
        <f>VLOOKUP(C33,'do průběžek'!$A$2:$D$246,2,FALSE)</f>
        <v>Příspěvková organizace zřízená územním samosprávným celkem</v>
      </c>
      <c r="E33" s="90" t="str">
        <f>VLOOKUP(C33,'do průběžek'!$A$2:$D$246,3,FALSE)</f>
        <v>§40 - Pečovatelská služba</v>
      </c>
      <c r="F33" s="90" t="str">
        <f>VLOOKUP(C33,'do průběžek'!$A$2:$D$246,4,FALSE)</f>
        <v>ambulantní a terénní</v>
      </c>
      <c r="G33" s="90">
        <f>VLOOKUP(C33,'do průběžek'!$H$2:$J$246,2,FALSE)</f>
        <v>5.09</v>
      </c>
      <c r="H33" s="90">
        <f>VLOOKUP(C33,'do průběžek'!$H$2:$J$246,3,FALSE)</f>
        <v>0</v>
      </c>
      <c r="I33" s="91">
        <v>4700968</v>
      </c>
      <c r="J33" s="91">
        <v>2464001</v>
      </c>
      <c r="K33" s="91">
        <v>2131516</v>
      </c>
      <c r="L33" s="91">
        <v>1717000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30516</v>
      </c>
      <c r="T33" s="91">
        <v>384000</v>
      </c>
      <c r="U33" s="91">
        <v>0</v>
      </c>
      <c r="V33" s="91">
        <v>0</v>
      </c>
      <c r="W33" s="91">
        <v>0</v>
      </c>
      <c r="X33" s="91">
        <v>0</v>
      </c>
      <c r="Y33" s="91">
        <v>332485</v>
      </c>
      <c r="Z33" s="91">
        <v>295962</v>
      </c>
      <c r="AA33" s="91">
        <v>0</v>
      </c>
      <c r="AB33" s="91">
        <v>25612</v>
      </c>
      <c r="AC33" s="91">
        <v>0</v>
      </c>
      <c r="AD33" s="91">
        <v>0</v>
      </c>
      <c r="AE33" s="91">
        <v>10911</v>
      </c>
      <c r="AF33" s="91">
        <v>0</v>
      </c>
      <c r="AG33" s="91">
        <v>0</v>
      </c>
      <c r="AH33" s="91">
        <v>430374</v>
      </c>
      <c r="AI33" s="91">
        <v>122259</v>
      </c>
      <c r="AJ33" s="91">
        <v>0</v>
      </c>
      <c r="AK33" s="91">
        <v>308115</v>
      </c>
      <c r="AL33" s="91">
        <v>0</v>
      </c>
    </row>
    <row r="34" spans="1:38" ht="55.5" hidden="1" x14ac:dyDescent="0.25">
      <c r="A34" s="89" t="s">
        <v>532</v>
      </c>
      <c r="B34" s="90" t="s">
        <v>564</v>
      </c>
      <c r="C34" s="90">
        <v>5957695</v>
      </c>
      <c r="D34" s="90" t="str">
        <f>VLOOKUP(C34,'do průběžek'!$A$2:$D$246,2,FALSE)</f>
        <v>Fyzická osoba podnikající dle živnostenského zákona zapsaná v obchodním rejstříku</v>
      </c>
      <c r="E34" s="90" t="str">
        <f>VLOOKUP(C34,'do průběžek'!$A$2:$D$246,3,FALSE)</f>
        <v>§40 - Pečovatelská služba</v>
      </c>
      <c r="F34" s="90" t="str">
        <f>VLOOKUP(C34,'do průběžek'!$A$2:$D$246,4,FALSE)</f>
        <v>terénní</v>
      </c>
      <c r="G34" s="90">
        <f>VLOOKUP(C34,'do průběžek'!$H$2:$J$246,2,FALSE)</f>
        <v>3.5</v>
      </c>
      <c r="H34" s="90">
        <f>VLOOKUP(C34,'do průběžek'!$H$2:$J$246,3,FALSE)</f>
        <v>0</v>
      </c>
      <c r="I34" s="91">
        <v>3110304</v>
      </c>
      <c r="J34" s="91">
        <v>1405750</v>
      </c>
      <c r="K34" s="91">
        <v>1167000</v>
      </c>
      <c r="L34" s="91">
        <v>1167000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238750</v>
      </c>
      <c r="Z34" s="91">
        <v>238750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268907</v>
      </c>
      <c r="AI34" s="91">
        <v>0</v>
      </c>
      <c r="AJ34" s="91">
        <v>11342</v>
      </c>
      <c r="AK34" s="91">
        <v>257565</v>
      </c>
      <c r="AL34" s="91">
        <v>0</v>
      </c>
    </row>
    <row r="35" spans="1:38" ht="46.5" hidden="1" x14ac:dyDescent="0.25">
      <c r="A35" s="89" t="s">
        <v>532</v>
      </c>
      <c r="B35" s="90" t="s">
        <v>565</v>
      </c>
      <c r="C35" s="90">
        <v>7734736</v>
      </c>
      <c r="D35" s="90" t="str">
        <f>VLOOKUP(C35,'do průběžek'!$A$2:$D$246,2,FALSE)</f>
        <v>Spolek</v>
      </c>
      <c r="E35" s="90" t="str">
        <f>VLOOKUP(C35,'do průběžek'!$A$2:$D$246,3,FALSE)</f>
        <v>§40 - Pečovatelská služba</v>
      </c>
      <c r="F35" s="90" t="str">
        <f>VLOOKUP(C35,'do průběžek'!$A$2:$D$246,4,FALSE)</f>
        <v>terénní</v>
      </c>
      <c r="G35" s="90">
        <f>VLOOKUP(C35,'do průběžek'!$H$2:$J$246,2,FALSE)</f>
        <v>6.25</v>
      </c>
      <c r="H35" s="90">
        <f>VLOOKUP(C35,'do průběžek'!$H$2:$J$246,3,FALSE)</f>
        <v>0</v>
      </c>
      <c r="I35" s="91">
        <v>5706257</v>
      </c>
      <c r="J35" s="91">
        <v>3111710</v>
      </c>
      <c r="K35" s="91">
        <v>2756066</v>
      </c>
      <c r="L35" s="91">
        <v>2485000</v>
      </c>
      <c r="M35" s="91">
        <v>0</v>
      </c>
      <c r="N35" s="91">
        <v>134000</v>
      </c>
      <c r="O35" s="91">
        <v>0</v>
      </c>
      <c r="P35" s="91">
        <v>0</v>
      </c>
      <c r="Q35" s="91">
        <v>0</v>
      </c>
      <c r="R35" s="91">
        <v>0</v>
      </c>
      <c r="S35" s="91">
        <v>137066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355644</v>
      </c>
      <c r="Z35" s="91">
        <v>327600</v>
      </c>
      <c r="AA35" s="91">
        <v>28044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1160334</v>
      </c>
      <c r="AI35" s="91">
        <v>598374</v>
      </c>
      <c r="AJ35" s="91">
        <v>0</v>
      </c>
      <c r="AK35" s="91">
        <v>561960</v>
      </c>
      <c r="AL35" s="91">
        <v>0</v>
      </c>
    </row>
    <row r="36" spans="1:38" ht="46.5" hidden="1" x14ac:dyDescent="0.25">
      <c r="A36" s="89" t="s">
        <v>532</v>
      </c>
      <c r="B36" s="90" t="s">
        <v>566</v>
      </c>
      <c r="C36" s="90">
        <v>2700736</v>
      </c>
      <c r="D36" s="90" t="str">
        <f>VLOOKUP(C36,'do průběžek'!$A$2:$D$246,2,FALSE)</f>
        <v>Obec</v>
      </c>
      <c r="E36" s="90" t="str">
        <f>VLOOKUP(C36,'do průběžek'!$A$2:$D$246,3,FALSE)</f>
        <v>§40 - Pečovatelská služba</v>
      </c>
      <c r="F36" s="90" t="str">
        <f>VLOOKUP(C36,'do průběžek'!$A$2:$D$246,4,FALSE)</f>
        <v>ambulantní a terénní</v>
      </c>
      <c r="G36" s="90">
        <f>VLOOKUP(C36,'do průběžek'!$H$2:$J$246,2,FALSE)</f>
        <v>4.9000000000000004</v>
      </c>
      <c r="H36" s="90">
        <f>VLOOKUP(C36,'do průběžek'!$H$2:$J$246,3,FALSE)</f>
        <v>0</v>
      </c>
      <c r="I36" s="91">
        <v>4579645</v>
      </c>
      <c r="J36" s="91">
        <v>1382000</v>
      </c>
      <c r="K36" s="91">
        <v>1382000</v>
      </c>
      <c r="L36" s="91">
        <v>1382000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72890</v>
      </c>
      <c r="AI36" s="91">
        <v>72890</v>
      </c>
      <c r="AJ36" s="91">
        <v>0</v>
      </c>
      <c r="AK36" s="91">
        <v>0</v>
      </c>
      <c r="AL36" s="91">
        <v>0</v>
      </c>
    </row>
    <row r="37" spans="1:38" ht="46.5" hidden="1" x14ac:dyDescent="0.25">
      <c r="A37" s="89" t="s">
        <v>532</v>
      </c>
      <c r="B37" s="90" t="s">
        <v>567</v>
      </c>
      <c r="C37" s="90">
        <v>8598927</v>
      </c>
      <c r="D37" s="90" t="str">
        <f>VLOOKUP(C37,'do průběžek'!$A$2:$D$246,2,FALSE)</f>
        <v>Obec</v>
      </c>
      <c r="E37" s="90" t="str">
        <f>VLOOKUP(C37,'do průběžek'!$A$2:$D$246,3,FALSE)</f>
        <v>§40 - Pečovatelská služba</v>
      </c>
      <c r="F37" s="90" t="str">
        <f>VLOOKUP(C37,'do průběžek'!$A$2:$D$246,4,FALSE)</f>
        <v>terénní</v>
      </c>
      <c r="G37" s="90">
        <f>VLOOKUP(C37,'do průběžek'!$H$2:$J$246,2,FALSE)</f>
        <v>3.1</v>
      </c>
      <c r="H37" s="90">
        <f>VLOOKUP(C37,'do průběžek'!$H$2:$J$246,3,FALSE)</f>
        <v>0</v>
      </c>
      <c r="I37" s="91">
        <v>2713583</v>
      </c>
      <c r="J37" s="91">
        <v>550079</v>
      </c>
      <c r="K37" s="91">
        <v>495000</v>
      </c>
      <c r="L37" s="91">
        <v>495000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55079</v>
      </c>
      <c r="Z37" s="91">
        <v>55079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234150</v>
      </c>
      <c r="AI37" s="91">
        <v>0</v>
      </c>
      <c r="AJ37" s="91">
        <v>0</v>
      </c>
      <c r="AK37" s="91">
        <v>234150</v>
      </c>
      <c r="AL37" s="91">
        <v>0</v>
      </c>
    </row>
    <row r="38" spans="1:38" ht="46.5" hidden="1" x14ac:dyDescent="0.25">
      <c r="A38" s="89" t="s">
        <v>532</v>
      </c>
      <c r="B38" s="90" t="s">
        <v>568</v>
      </c>
      <c r="C38" s="90">
        <v>2088349</v>
      </c>
      <c r="D38" s="90" t="str">
        <f>VLOOKUP(C38,'do průběžek'!$A$2:$D$246,2,FALSE)</f>
        <v>Obec</v>
      </c>
      <c r="E38" s="90" t="str">
        <f>VLOOKUP(C38,'do průběžek'!$A$2:$D$246,3,FALSE)</f>
        <v>§40 - Pečovatelská služba</v>
      </c>
      <c r="F38" s="90" t="str">
        <f>VLOOKUP(C38,'do průběžek'!$A$2:$D$246,4,FALSE)</f>
        <v>ambulantní a terénní</v>
      </c>
      <c r="G38" s="90">
        <f>VLOOKUP(C38,'do průběžek'!$H$2:$J$246,2,FALSE)</f>
        <v>5</v>
      </c>
      <c r="H38" s="90">
        <f>VLOOKUP(C38,'do průběžek'!$H$2:$J$246,3,FALSE)</f>
        <v>0</v>
      </c>
      <c r="I38" s="91">
        <v>4869005</v>
      </c>
      <c r="J38" s="91">
        <v>2319251</v>
      </c>
      <c r="K38" s="91">
        <v>1562000</v>
      </c>
      <c r="L38" s="91">
        <v>1562000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757251</v>
      </c>
      <c r="Z38" s="91">
        <v>77251</v>
      </c>
      <c r="AA38" s="91">
        <v>0</v>
      </c>
      <c r="AB38" s="91">
        <v>0</v>
      </c>
      <c r="AC38" s="91">
        <v>680000</v>
      </c>
      <c r="AD38" s="91">
        <v>0</v>
      </c>
      <c r="AE38" s="91">
        <v>0</v>
      </c>
      <c r="AF38" s="91">
        <v>0</v>
      </c>
      <c r="AG38" s="91">
        <v>0</v>
      </c>
      <c r="AH38" s="91">
        <v>451112</v>
      </c>
      <c r="AI38" s="91">
        <v>76472</v>
      </c>
      <c r="AJ38" s="91">
        <v>374640</v>
      </c>
      <c r="AK38" s="91">
        <v>0</v>
      </c>
      <c r="AL38" s="91">
        <v>0</v>
      </c>
    </row>
    <row r="39" spans="1:38" ht="46.5" hidden="1" x14ac:dyDescent="0.25">
      <c r="A39" s="89" t="s">
        <v>532</v>
      </c>
      <c r="B39" s="90" t="s">
        <v>569</v>
      </c>
      <c r="C39" s="90">
        <v>3886672</v>
      </c>
      <c r="D39" s="90" t="str">
        <f>VLOOKUP(C39,'do průběžek'!$A$2:$D$246,2,FALSE)</f>
        <v>Obec</v>
      </c>
      <c r="E39" s="90" t="str">
        <f>VLOOKUP(C39,'do průběžek'!$A$2:$D$246,3,FALSE)</f>
        <v>§40 - Pečovatelská služba</v>
      </c>
      <c r="F39" s="90" t="str">
        <f>VLOOKUP(C39,'do průběžek'!$A$2:$D$246,4,FALSE)</f>
        <v>ambulantní a terénní</v>
      </c>
      <c r="G39" s="90">
        <f>VLOOKUP(C39,'do průběžek'!$H$2:$J$246,2,FALSE)</f>
        <v>8.75</v>
      </c>
      <c r="H39" s="90">
        <f>VLOOKUP(C39,'do průběžek'!$H$2:$J$246,3,FALSE)</f>
        <v>0</v>
      </c>
      <c r="I39" s="91">
        <v>8470760</v>
      </c>
      <c r="J39" s="91">
        <v>3244312</v>
      </c>
      <c r="K39" s="91">
        <v>2260000</v>
      </c>
      <c r="L39" s="91">
        <v>2260000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984312</v>
      </c>
      <c r="Z39" s="91">
        <v>434373</v>
      </c>
      <c r="AA39" s="91">
        <v>0</v>
      </c>
      <c r="AB39" s="91">
        <v>0</v>
      </c>
      <c r="AC39" s="91">
        <v>506056</v>
      </c>
      <c r="AD39" s="91">
        <v>0</v>
      </c>
      <c r="AE39" s="91">
        <v>43883</v>
      </c>
      <c r="AF39" s="91">
        <v>0</v>
      </c>
      <c r="AG39" s="91">
        <v>0</v>
      </c>
      <c r="AH39" s="91">
        <v>664049</v>
      </c>
      <c r="AI39" s="91">
        <v>0</v>
      </c>
      <c r="AJ39" s="91">
        <v>0</v>
      </c>
      <c r="AK39" s="91">
        <v>664049</v>
      </c>
      <c r="AL39" s="91">
        <v>0</v>
      </c>
    </row>
    <row r="40" spans="1:38" ht="46.5" hidden="1" x14ac:dyDescent="0.25">
      <c r="A40" s="89" t="s">
        <v>532</v>
      </c>
      <c r="B40" s="90" t="s">
        <v>570</v>
      </c>
      <c r="C40" s="90">
        <v>7777619</v>
      </c>
      <c r="D40" s="90" t="str">
        <f>VLOOKUP(C40,'do průběžek'!$A$2:$D$246,2,FALSE)</f>
        <v>Obec</v>
      </c>
      <c r="E40" s="90" t="str">
        <f>VLOOKUP(C40,'do průběžek'!$A$2:$D$246,3,FALSE)</f>
        <v>§40 - Pečovatelská služba</v>
      </c>
      <c r="F40" s="90" t="str">
        <f>VLOOKUP(C40,'do průběžek'!$A$2:$D$246,4,FALSE)</f>
        <v>ambulantní a terénní</v>
      </c>
      <c r="G40" s="90">
        <f>VLOOKUP(C40,'do průběžek'!$H$2:$J$246,2,FALSE)</f>
        <v>4</v>
      </c>
      <c r="H40" s="90">
        <f>VLOOKUP(C40,'do průběžek'!$H$2:$J$246,3,FALSE)</f>
        <v>0</v>
      </c>
      <c r="I40" s="91">
        <v>3786204</v>
      </c>
      <c r="J40" s="91">
        <v>2222490</v>
      </c>
      <c r="K40" s="91">
        <v>799000</v>
      </c>
      <c r="L40" s="91">
        <v>799000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1423490</v>
      </c>
      <c r="Z40" s="91">
        <v>198000</v>
      </c>
      <c r="AA40" s="91">
        <v>0</v>
      </c>
      <c r="AB40" s="91">
        <v>0</v>
      </c>
      <c r="AC40" s="91">
        <v>1225490</v>
      </c>
      <c r="AD40" s="91">
        <v>0</v>
      </c>
      <c r="AE40" s="91">
        <v>0</v>
      </c>
      <c r="AF40" s="91">
        <v>0</v>
      </c>
      <c r="AG40" s="91">
        <v>0</v>
      </c>
      <c r="AH40" s="91">
        <v>382510</v>
      </c>
      <c r="AI40" s="91">
        <v>48010</v>
      </c>
      <c r="AJ40" s="91">
        <v>0</v>
      </c>
      <c r="AK40" s="91">
        <v>334500</v>
      </c>
      <c r="AL40" s="91">
        <v>0</v>
      </c>
    </row>
    <row r="41" spans="1:38" ht="46.5" hidden="1" x14ac:dyDescent="0.25">
      <c r="A41" s="89" t="s">
        <v>532</v>
      </c>
      <c r="B41" s="90" t="s">
        <v>571</v>
      </c>
      <c r="C41" s="90">
        <v>2838544</v>
      </c>
      <c r="D41" s="90" t="str">
        <f>VLOOKUP(C41,'do průběžek'!$A$2:$D$246,2,FALSE)</f>
        <v>Obec</v>
      </c>
      <c r="E41" s="90" t="str">
        <f>VLOOKUP(C41,'do průběžek'!$A$2:$D$246,3,FALSE)</f>
        <v>§40 - Pečovatelská služba</v>
      </c>
      <c r="F41" s="90" t="str">
        <f>VLOOKUP(C41,'do průběžek'!$A$2:$D$246,4,FALSE)</f>
        <v>ambulantní a terénní</v>
      </c>
      <c r="G41" s="90">
        <f>VLOOKUP(C41,'do průběžek'!$H$2:$J$246,2,FALSE)</f>
        <v>3.1</v>
      </c>
      <c r="H41" s="90">
        <f>VLOOKUP(C41,'do průběžek'!$H$2:$J$246,3,FALSE)</f>
        <v>0</v>
      </c>
      <c r="I41" s="91">
        <v>2877583.37</v>
      </c>
      <c r="J41" s="91">
        <v>1943795</v>
      </c>
      <c r="K41" s="91">
        <v>830000</v>
      </c>
      <c r="L41" s="91">
        <v>830000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0</v>
      </c>
      <c r="Y41" s="91">
        <v>1113795</v>
      </c>
      <c r="Z41" s="91">
        <v>123868</v>
      </c>
      <c r="AA41" s="91">
        <v>0</v>
      </c>
      <c r="AB41" s="91">
        <v>0</v>
      </c>
      <c r="AC41" s="91">
        <v>970000</v>
      </c>
      <c r="AD41" s="91">
        <v>0</v>
      </c>
      <c r="AE41" s="91">
        <v>19927</v>
      </c>
      <c r="AF41" s="91">
        <v>0</v>
      </c>
      <c r="AG41" s="91">
        <v>0</v>
      </c>
      <c r="AH41" s="91">
        <v>243516</v>
      </c>
      <c r="AI41" s="91">
        <v>0</v>
      </c>
      <c r="AJ41" s="91">
        <v>0</v>
      </c>
      <c r="AK41" s="91">
        <v>243516</v>
      </c>
      <c r="AL41" s="91">
        <v>0</v>
      </c>
    </row>
    <row r="42" spans="1:38" ht="46.5" hidden="1" x14ac:dyDescent="0.25">
      <c r="A42" s="89" t="s">
        <v>532</v>
      </c>
      <c r="B42" s="90" t="s">
        <v>572</v>
      </c>
      <c r="C42" s="90">
        <v>2084701</v>
      </c>
      <c r="D42" s="90" t="str">
        <f>VLOOKUP(C42,'do průběžek'!$A$2:$D$246,2,FALSE)</f>
        <v>Obec</v>
      </c>
      <c r="E42" s="90" t="str">
        <f>VLOOKUP(C42,'do průběžek'!$A$2:$D$246,3,FALSE)</f>
        <v>§40 - Pečovatelská služba</v>
      </c>
      <c r="F42" s="90" t="str">
        <f>VLOOKUP(C42,'do průběžek'!$A$2:$D$246,4,FALSE)</f>
        <v>ambulantní a terénní</v>
      </c>
      <c r="G42" s="90">
        <f>VLOOKUP(C42,'do průběžek'!$H$2:$J$246,2,FALSE)</f>
        <v>10</v>
      </c>
      <c r="H42" s="90">
        <f>VLOOKUP(C42,'do průběžek'!$H$2:$J$246,3,FALSE)</f>
        <v>0</v>
      </c>
      <c r="I42" s="91">
        <v>9485010.8800000008</v>
      </c>
      <c r="J42" s="91">
        <v>4009812.26</v>
      </c>
      <c r="K42" s="91">
        <v>3515303.26</v>
      </c>
      <c r="L42" s="91">
        <v>3120000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  <c r="R42" s="91">
        <v>0</v>
      </c>
      <c r="S42" s="91">
        <v>395303.26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494509</v>
      </c>
      <c r="Z42" s="91">
        <v>492409</v>
      </c>
      <c r="AA42" s="91">
        <v>0</v>
      </c>
      <c r="AB42" s="91">
        <v>0</v>
      </c>
      <c r="AC42" s="91">
        <v>0</v>
      </c>
      <c r="AD42" s="91">
        <v>0</v>
      </c>
      <c r="AE42" s="91">
        <v>2100</v>
      </c>
      <c r="AF42" s="91">
        <v>0</v>
      </c>
      <c r="AG42" s="91">
        <v>0</v>
      </c>
      <c r="AH42" s="91">
        <v>776431</v>
      </c>
      <c r="AI42" s="91">
        <v>47221</v>
      </c>
      <c r="AJ42" s="91">
        <v>0</v>
      </c>
      <c r="AK42" s="91">
        <v>729210</v>
      </c>
      <c r="AL42" s="91">
        <v>0</v>
      </c>
    </row>
    <row r="43" spans="1:38" ht="46.5" hidden="1" x14ac:dyDescent="0.25">
      <c r="A43" s="89" t="s">
        <v>532</v>
      </c>
      <c r="B43" s="90" t="s">
        <v>573</v>
      </c>
      <c r="C43" s="90">
        <v>1129034</v>
      </c>
      <c r="D43" s="90" t="str">
        <f>VLOOKUP(C43,'do průběžek'!$A$2:$D$246,2,FALSE)</f>
        <v>Obec</v>
      </c>
      <c r="E43" s="90" t="str">
        <f>VLOOKUP(C43,'do průběžek'!$A$2:$D$246,3,FALSE)</f>
        <v>§40 - Pečovatelská služba</v>
      </c>
      <c r="F43" s="90" t="str">
        <f>VLOOKUP(C43,'do průběžek'!$A$2:$D$246,4,FALSE)</f>
        <v>terénní</v>
      </c>
      <c r="G43" s="90">
        <f>VLOOKUP(C43,'do průběžek'!$H$2:$J$246,2,FALSE)</f>
        <v>6.6</v>
      </c>
      <c r="H43" s="90">
        <f>VLOOKUP(C43,'do průběžek'!$H$2:$J$246,3,FALSE)</f>
        <v>0</v>
      </c>
      <c r="I43" s="91">
        <v>6403667.1799999997</v>
      </c>
      <c r="J43" s="91">
        <v>4385647.29</v>
      </c>
      <c r="K43" s="91">
        <v>1710000</v>
      </c>
      <c r="L43" s="91">
        <v>1685000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25000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2675647.29</v>
      </c>
      <c r="Z43" s="91">
        <v>266157</v>
      </c>
      <c r="AA43" s="91">
        <v>0</v>
      </c>
      <c r="AB43" s="91">
        <v>0</v>
      </c>
      <c r="AC43" s="91">
        <v>2382597.44</v>
      </c>
      <c r="AD43" s="91">
        <v>0</v>
      </c>
      <c r="AE43" s="91">
        <v>26892.85</v>
      </c>
      <c r="AF43" s="91">
        <v>0</v>
      </c>
      <c r="AG43" s="91">
        <v>0</v>
      </c>
      <c r="AH43" s="91">
        <v>520800</v>
      </c>
      <c r="AI43" s="91">
        <v>32725</v>
      </c>
      <c r="AJ43" s="91">
        <v>0</v>
      </c>
      <c r="AK43" s="91">
        <v>488075</v>
      </c>
      <c r="AL43" s="91">
        <v>0</v>
      </c>
    </row>
    <row r="44" spans="1:38" ht="46.5" hidden="1" x14ac:dyDescent="0.25">
      <c r="A44" s="89" t="s">
        <v>532</v>
      </c>
      <c r="B44" s="90" t="s">
        <v>574</v>
      </c>
      <c r="C44" s="90">
        <v>8227630</v>
      </c>
      <c r="D44" s="90" t="str">
        <f>VLOOKUP(C44,'do průběžek'!$A$2:$D$246,2,FALSE)</f>
        <v>Obec</v>
      </c>
      <c r="E44" s="90" t="str">
        <f>VLOOKUP(C44,'do průběžek'!$A$2:$D$246,3,FALSE)</f>
        <v>§40 - Pečovatelská služba</v>
      </c>
      <c r="F44" s="90" t="str">
        <f>VLOOKUP(C44,'do průběžek'!$A$2:$D$246,4,FALSE)</f>
        <v>ambulantní a terénní</v>
      </c>
      <c r="G44" s="90">
        <f>VLOOKUP(C44,'do průběžek'!$H$2:$J$246,2,FALSE)</f>
        <v>3.5</v>
      </c>
      <c r="H44" s="90">
        <f>VLOOKUP(C44,'do průběžek'!$H$2:$J$246,3,FALSE)</f>
        <v>0</v>
      </c>
      <c r="I44" s="91">
        <v>3367303.81</v>
      </c>
      <c r="J44" s="91">
        <v>1347406</v>
      </c>
      <c r="K44" s="91">
        <v>734000</v>
      </c>
      <c r="L44" s="91">
        <v>734000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613406</v>
      </c>
      <c r="Z44" s="91">
        <v>185199</v>
      </c>
      <c r="AA44" s="91">
        <v>0</v>
      </c>
      <c r="AB44" s="91">
        <v>0</v>
      </c>
      <c r="AC44" s="91">
        <v>428207</v>
      </c>
      <c r="AD44" s="91">
        <v>0</v>
      </c>
      <c r="AE44" s="91">
        <v>0</v>
      </c>
      <c r="AF44" s="91">
        <v>0</v>
      </c>
      <c r="AG44" s="91">
        <v>0</v>
      </c>
      <c r="AH44" s="91">
        <v>291500</v>
      </c>
      <c r="AI44" s="91">
        <v>23900</v>
      </c>
      <c r="AJ44" s="91">
        <v>0</v>
      </c>
      <c r="AK44" s="91">
        <v>267600</v>
      </c>
      <c r="AL44" s="91">
        <v>0</v>
      </c>
    </row>
    <row r="45" spans="1:38" ht="46.5" hidden="1" x14ac:dyDescent="0.25">
      <c r="A45" s="89" t="s">
        <v>532</v>
      </c>
      <c r="B45" s="90" t="s">
        <v>575</v>
      </c>
      <c r="C45" s="90">
        <v>2587147</v>
      </c>
      <c r="D45" s="90" t="str">
        <f>VLOOKUP(C45,'do průběžek'!$A$2:$D$246,2,FALSE)</f>
        <v>Obec</v>
      </c>
      <c r="E45" s="90" t="str">
        <f>VLOOKUP(C45,'do průběžek'!$A$2:$D$246,3,FALSE)</f>
        <v>§40 - Pečovatelská služba</v>
      </c>
      <c r="F45" s="90" t="str">
        <f>VLOOKUP(C45,'do průběžek'!$A$2:$D$246,4,FALSE)</f>
        <v>terénní</v>
      </c>
      <c r="G45" s="90">
        <f>VLOOKUP(C45,'do průběžek'!$H$2:$J$246,2,FALSE)</f>
        <v>1.03</v>
      </c>
      <c r="H45" s="90">
        <f>VLOOKUP(C45,'do průběžek'!$H$2:$J$246,3,FALSE)</f>
        <v>0</v>
      </c>
      <c r="I45" s="91">
        <v>1001455.12</v>
      </c>
      <c r="J45" s="91">
        <v>294761.18</v>
      </c>
      <c r="K45" s="91">
        <v>266000</v>
      </c>
      <c r="L45" s="91">
        <v>266000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28761.18</v>
      </c>
      <c r="Z45" s="91">
        <v>28761.18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66900</v>
      </c>
      <c r="AI45" s="91">
        <v>0</v>
      </c>
      <c r="AJ45" s="91">
        <v>0</v>
      </c>
      <c r="AK45" s="91">
        <v>66900</v>
      </c>
      <c r="AL45" s="91">
        <v>0</v>
      </c>
    </row>
    <row r="46" spans="1:38" ht="46.5" hidden="1" x14ac:dyDescent="0.25">
      <c r="A46" s="89" t="s">
        <v>532</v>
      </c>
      <c r="B46" s="90" t="s">
        <v>576</v>
      </c>
      <c r="C46" s="90">
        <v>2552651</v>
      </c>
      <c r="D46" s="90" t="str">
        <f>VLOOKUP(C46,'do průběžek'!$A$2:$D$246,2,FALSE)</f>
        <v>Obec</v>
      </c>
      <c r="E46" s="90" t="str">
        <f>VLOOKUP(C46,'do průběžek'!$A$2:$D$246,3,FALSE)</f>
        <v>§40 - Pečovatelská služba</v>
      </c>
      <c r="F46" s="90" t="str">
        <f>VLOOKUP(C46,'do průběžek'!$A$2:$D$246,4,FALSE)</f>
        <v>terénní</v>
      </c>
      <c r="G46" s="90">
        <f>VLOOKUP(C46,'do průběžek'!$H$2:$J$246,2,FALSE)</f>
        <v>2.2999999999999998</v>
      </c>
      <c r="H46" s="90">
        <f>VLOOKUP(C46,'do průběžek'!$H$2:$J$246,3,FALSE)</f>
        <v>0</v>
      </c>
      <c r="I46" s="91">
        <v>2198143</v>
      </c>
      <c r="J46" s="91">
        <v>872037</v>
      </c>
      <c r="K46" s="91">
        <v>751000</v>
      </c>
      <c r="L46" s="91">
        <v>751000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121037</v>
      </c>
      <c r="Z46" s="91">
        <v>121037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184109</v>
      </c>
      <c r="AI46" s="91">
        <v>0</v>
      </c>
      <c r="AJ46" s="91">
        <v>0</v>
      </c>
      <c r="AK46" s="91">
        <v>184109</v>
      </c>
      <c r="AL46" s="91">
        <v>0</v>
      </c>
    </row>
    <row r="47" spans="1:38" ht="46.5" hidden="1" x14ac:dyDescent="0.25">
      <c r="A47" s="89" t="s">
        <v>532</v>
      </c>
      <c r="B47" s="90" t="s">
        <v>577</v>
      </c>
      <c r="C47" s="90">
        <v>2574699</v>
      </c>
      <c r="D47" s="90" t="str">
        <f>VLOOKUP(C47,'do průběžek'!$A$2:$D$246,2,FALSE)</f>
        <v>Obec</v>
      </c>
      <c r="E47" s="90" t="str">
        <f>VLOOKUP(C47,'do průběžek'!$A$2:$D$246,3,FALSE)</f>
        <v>§40 - Pečovatelská služba</v>
      </c>
      <c r="F47" s="90" t="str">
        <f>VLOOKUP(C47,'do průběžek'!$A$2:$D$246,4,FALSE)</f>
        <v>ambulantní a terénní</v>
      </c>
      <c r="G47" s="90">
        <f>VLOOKUP(C47,'do průběžek'!$H$2:$J$246,2,FALSE)</f>
        <v>3</v>
      </c>
      <c r="H47" s="90">
        <f>VLOOKUP(C47,'do průběžek'!$H$2:$J$246,3,FALSE)</f>
        <v>0</v>
      </c>
      <c r="I47" s="91">
        <v>2934148</v>
      </c>
      <c r="J47" s="91">
        <v>1260067</v>
      </c>
      <c r="K47" s="91">
        <v>870000</v>
      </c>
      <c r="L47" s="91">
        <v>870000</v>
      </c>
      <c r="M47" s="91">
        <v>0</v>
      </c>
      <c r="N47" s="91">
        <v>0</v>
      </c>
      <c r="O47" s="91">
        <v>0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0</v>
      </c>
      <c r="Y47" s="91">
        <v>390067</v>
      </c>
      <c r="Z47" s="91">
        <v>128061</v>
      </c>
      <c r="AA47" s="91">
        <v>0</v>
      </c>
      <c r="AB47" s="91">
        <v>0</v>
      </c>
      <c r="AC47" s="91">
        <v>0</v>
      </c>
      <c r="AD47" s="91">
        <v>0</v>
      </c>
      <c r="AE47" s="91">
        <v>10378</v>
      </c>
      <c r="AF47" s="91">
        <v>0</v>
      </c>
      <c r="AG47" s="91">
        <v>251628</v>
      </c>
      <c r="AH47" s="91">
        <v>229802</v>
      </c>
      <c r="AI47" s="91">
        <v>0</v>
      </c>
      <c r="AJ47" s="91">
        <v>0</v>
      </c>
      <c r="AK47" s="91">
        <v>229802</v>
      </c>
      <c r="AL47" s="91">
        <v>0</v>
      </c>
    </row>
    <row r="48" spans="1:38" ht="46.5" hidden="1" x14ac:dyDescent="0.25">
      <c r="A48" s="89" t="s">
        <v>532</v>
      </c>
      <c r="B48" s="90" t="s">
        <v>578</v>
      </c>
      <c r="C48" s="90">
        <v>7207666</v>
      </c>
      <c r="D48" s="90" t="str">
        <f>VLOOKUP(C48,'do průběžek'!$A$2:$D$246,2,FALSE)</f>
        <v>Obec</v>
      </c>
      <c r="E48" s="90" t="str">
        <f>VLOOKUP(C48,'do průběžek'!$A$2:$D$246,3,FALSE)</f>
        <v>§40 - Pečovatelská služba</v>
      </c>
      <c r="F48" s="90" t="str">
        <f>VLOOKUP(C48,'do průběžek'!$A$2:$D$246,4,FALSE)</f>
        <v>terénní</v>
      </c>
      <c r="G48" s="90">
        <f>VLOOKUP(C48,'do průběžek'!$H$2:$J$246,2,FALSE)</f>
        <v>5.0999999999999996</v>
      </c>
      <c r="H48" s="90">
        <f>VLOOKUP(C48,'do průběžek'!$H$2:$J$246,3,FALSE)</f>
        <v>0</v>
      </c>
      <c r="I48" s="91">
        <v>5135105.55</v>
      </c>
      <c r="J48" s="91">
        <v>1392514.89</v>
      </c>
      <c r="K48" s="91">
        <v>636000</v>
      </c>
      <c r="L48" s="91">
        <v>636000</v>
      </c>
      <c r="M48" s="91">
        <v>0</v>
      </c>
      <c r="N48" s="91">
        <v>0</v>
      </c>
      <c r="O48" s="91">
        <v>0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756514.89</v>
      </c>
      <c r="Z48" s="91">
        <v>108791</v>
      </c>
      <c r="AA48" s="91">
        <v>0</v>
      </c>
      <c r="AB48" s="91">
        <v>0</v>
      </c>
      <c r="AC48" s="91">
        <v>642539.39</v>
      </c>
      <c r="AD48" s="91">
        <v>0</v>
      </c>
      <c r="AE48" s="91">
        <v>620</v>
      </c>
      <c r="AF48" s="91">
        <v>0</v>
      </c>
      <c r="AG48" s="91">
        <v>4564.5</v>
      </c>
      <c r="AH48" s="91">
        <v>297170</v>
      </c>
      <c r="AI48" s="91">
        <v>0</v>
      </c>
      <c r="AJ48" s="91">
        <v>0</v>
      </c>
      <c r="AK48" s="91">
        <v>297170</v>
      </c>
      <c r="AL48" s="91">
        <v>0</v>
      </c>
    </row>
    <row r="49" spans="1:38" ht="46.5" hidden="1" x14ac:dyDescent="0.25">
      <c r="A49" s="89" t="s">
        <v>532</v>
      </c>
      <c r="B49" s="90" t="s">
        <v>579</v>
      </c>
      <c r="C49" s="90">
        <v>2928724</v>
      </c>
      <c r="D49" s="90" t="str">
        <f>VLOOKUP(C49,'do průběžek'!$A$2:$D$246,2,FALSE)</f>
        <v>Obec</v>
      </c>
      <c r="E49" s="90" t="str">
        <f>VLOOKUP(C49,'do průběžek'!$A$2:$D$246,3,FALSE)</f>
        <v>§40 - Pečovatelská služba</v>
      </c>
      <c r="F49" s="90" t="str">
        <f>VLOOKUP(C49,'do průběžek'!$A$2:$D$246,4,FALSE)</f>
        <v>ambulantní a terénní</v>
      </c>
      <c r="G49" s="90">
        <f>VLOOKUP(C49,'do průběžek'!$H$2:$J$246,2,FALSE)</f>
        <v>8</v>
      </c>
      <c r="H49" s="90">
        <f>VLOOKUP(C49,'do průběžek'!$H$2:$J$246,3,FALSE)</f>
        <v>0</v>
      </c>
      <c r="I49" s="91">
        <v>7374408.71</v>
      </c>
      <c r="J49" s="91">
        <v>3267942</v>
      </c>
      <c r="K49" s="91">
        <v>1729500</v>
      </c>
      <c r="L49" s="91">
        <v>1723000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1">
        <v>0</v>
      </c>
      <c r="S49" s="91">
        <v>6500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1538442</v>
      </c>
      <c r="Z49" s="91">
        <v>326761</v>
      </c>
      <c r="AA49" s="91">
        <v>0</v>
      </c>
      <c r="AB49" s="91">
        <v>0</v>
      </c>
      <c r="AC49" s="91">
        <v>1184059</v>
      </c>
      <c r="AD49" s="91">
        <v>0</v>
      </c>
      <c r="AE49" s="91">
        <v>27622</v>
      </c>
      <c r="AF49" s="91">
        <v>0</v>
      </c>
      <c r="AG49" s="91">
        <v>0</v>
      </c>
      <c r="AH49" s="91">
        <v>629115</v>
      </c>
      <c r="AI49" s="91">
        <v>52102</v>
      </c>
      <c r="AJ49" s="91">
        <v>0</v>
      </c>
      <c r="AK49" s="91">
        <v>577013</v>
      </c>
      <c r="AL49" s="91">
        <v>0</v>
      </c>
    </row>
    <row r="50" spans="1:38" ht="46.5" hidden="1" x14ac:dyDescent="0.25">
      <c r="A50" s="89" t="s">
        <v>532</v>
      </c>
      <c r="B50" s="90" t="s">
        <v>580</v>
      </c>
      <c r="C50" s="90">
        <v>7177985</v>
      </c>
      <c r="D50" s="90" t="str">
        <f>VLOOKUP(C50,'do průběžek'!$A$2:$D$246,2,FALSE)</f>
        <v>Obec</v>
      </c>
      <c r="E50" s="90" t="str">
        <f>VLOOKUP(C50,'do průběžek'!$A$2:$D$246,3,FALSE)</f>
        <v>§40 - Pečovatelská služba</v>
      </c>
      <c r="F50" s="90" t="str">
        <f>VLOOKUP(C50,'do průběžek'!$A$2:$D$246,4,FALSE)</f>
        <v>terénní</v>
      </c>
      <c r="G50" s="90">
        <f>VLOOKUP(C50,'do průběžek'!$H$2:$J$246,2,FALSE)</f>
        <v>3.6</v>
      </c>
      <c r="H50" s="90">
        <f>VLOOKUP(C50,'do průběžek'!$H$2:$J$246,3,FALSE)</f>
        <v>0</v>
      </c>
      <c r="I50" s="91">
        <v>3166089</v>
      </c>
      <c r="J50" s="91">
        <v>988457</v>
      </c>
      <c r="K50" s="91">
        <v>772000</v>
      </c>
      <c r="L50" s="91">
        <v>772000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216457</v>
      </c>
      <c r="Z50" s="91">
        <v>216457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412773</v>
      </c>
      <c r="AI50" s="91">
        <v>0</v>
      </c>
      <c r="AJ50" s="91">
        <v>0</v>
      </c>
      <c r="AK50" s="91">
        <v>412773</v>
      </c>
      <c r="AL50" s="91">
        <v>0</v>
      </c>
    </row>
    <row r="51" spans="1:38" ht="46.5" hidden="1" x14ac:dyDescent="0.25">
      <c r="A51" s="89" t="s">
        <v>532</v>
      </c>
      <c r="B51" s="90" t="s">
        <v>581</v>
      </c>
      <c r="C51" s="90">
        <v>1853485</v>
      </c>
      <c r="D51" s="90" t="str">
        <f>VLOOKUP(C51,'do průběžek'!$A$2:$D$246,2,FALSE)</f>
        <v>Obec</v>
      </c>
      <c r="E51" s="90" t="str">
        <f>VLOOKUP(C51,'do průběžek'!$A$2:$D$246,3,FALSE)</f>
        <v>§40 - Pečovatelská služba</v>
      </c>
      <c r="F51" s="90" t="str">
        <f>VLOOKUP(C51,'do průběžek'!$A$2:$D$246,4,FALSE)</f>
        <v>terénní</v>
      </c>
      <c r="G51" s="90">
        <f>VLOOKUP(C51,'do průběžek'!$H$2:$J$246,2,FALSE)</f>
        <v>1.3</v>
      </c>
      <c r="H51" s="90">
        <f>VLOOKUP(C51,'do průběžek'!$H$2:$J$246,3,FALSE)</f>
        <v>0</v>
      </c>
      <c r="I51" s="91">
        <v>1235341.42</v>
      </c>
      <c r="J51" s="91">
        <v>268570</v>
      </c>
      <c r="K51" s="91">
        <v>227000</v>
      </c>
      <c r="L51" s="91">
        <v>227000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41570</v>
      </c>
      <c r="Z51" s="91">
        <v>41570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77711</v>
      </c>
      <c r="AI51" s="91">
        <v>0</v>
      </c>
      <c r="AJ51" s="91">
        <v>0</v>
      </c>
      <c r="AK51" s="91">
        <v>77711</v>
      </c>
      <c r="AL51" s="91">
        <v>0</v>
      </c>
    </row>
    <row r="52" spans="1:38" ht="46.5" hidden="1" x14ac:dyDescent="0.25">
      <c r="A52" s="89" t="s">
        <v>532</v>
      </c>
      <c r="B52" s="90" t="s">
        <v>582</v>
      </c>
      <c r="C52" s="90">
        <v>3415850</v>
      </c>
      <c r="D52" s="90" t="str">
        <f>VLOOKUP(C52,'do průběžek'!$A$2:$D$246,2,FALSE)</f>
        <v>Obec</v>
      </c>
      <c r="E52" s="90" t="str">
        <f>VLOOKUP(C52,'do průběžek'!$A$2:$D$246,3,FALSE)</f>
        <v>§40 - Pečovatelská služba</v>
      </c>
      <c r="F52" s="90" t="str">
        <f>VLOOKUP(C52,'do průběžek'!$A$2:$D$246,4,FALSE)</f>
        <v>terénní</v>
      </c>
      <c r="G52" s="90">
        <f>VLOOKUP(C52,'do průběžek'!$H$2:$J$246,2,FALSE)</f>
        <v>2.7</v>
      </c>
      <c r="H52" s="90">
        <f>VLOOKUP(C52,'do průběžek'!$H$2:$J$246,3,FALSE)</f>
        <v>0</v>
      </c>
      <c r="I52" s="91">
        <v>0</v>
      </c>
      <c r="J52" s="91">
        <v>842541</v>
      </c>
      <c r="K52" s="91">
        <v>696000</v>
      </c>
      <c r="L52" s="91">
        <v>696000</v>
      </c>
      <c r="M52" s="91">
        <v>0</v>
      </c>
      <c r="N52" s="91">
        <v>0</v>
      </c>
      <c r="O52" s="91">
        <v>0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0</v>
      </c>
      <c r="Y52" s="91">
        <v>146541</v>
      </c>
      <c r="Z52" s="91">
        <v>45104</v>
      </c>
      <c r="AA52" s="91">
        <v>0</v>
      </c>
      <c r="AB52" s="91">
        <v>0</v>
      </c>
      <c r="AC52" s="91">
        <v>100948</v>
      </c>
      <c r="AD52" s="91">
        <v>0</v>
      </c>
      <c r="AE52" s="91">
        <v>489</v>
      </c>
      <c r="AF52" s="91">
        <v>0</v>
      </c>
      <c r="AG52" s="91">
        <v>0</v>
      </c>
      <c r="AH52" s="91">
        <v>157884</v>
      </c>
      <c r="AI52" s="91">
        <v>0</v>
      </c>
      <c r="AJ52" s="91">
        <v>0</v>
      </c>
      <c r="AK52" s="91">
        <v>157884</v>
      </c>
      <c r="AL52" s="91">
        <v>0</v>
      </c>
    </row>
    <row r="53" spans="1:38" ht="46.5" hidden="1" x14ac:dyDescent="0.25">
      <c r="A53" s="89" t="s">
        <v>532</v>
      </c>
      <c r="B53" s="90" t="s">
        <v>583</v>
      </c>
      <c r="C53" s="90">
        <v>3005927</v>
      </c>
      <c r="D53" s="90" t="str">
        <f>VLOOKUP(C53,'do průběžek'!$A$2:$D$246,2,FALSE)</f>
        <v>Obec</v>
      </c>
      <c r="E53" s="90" t="str">
        <f>VLOOKUP(C53,'do průběžek'!$A$2:$D$246,3,FALSE)</f>
        <v>§40 - Pečovatelská služba</v>
      </c>
      <c r="F53" s="90" t="str">
        <f>VLOOKUP(C53,'do průběžek'!$A$2:$D$246,4,FALSE)</f>
        <v>terénní</v>
      </c>
      <c r="G53" s="90">
        <f>VLOOKUP(C53,'do průběžek'!$H$2:$J$246,2,FALSE)</f>
        <v>1.6</v>
      </c>
      <c r="H53" s="90">
        <f>VLOOKUP(C53,'do průběžek'!$H$2:$J$246,3,FALSE)</f>
        <v>0</v>
      </c>
      <c r="I53" s="91">
        <v>1486556</v>
      </c>
      <c r="J53" s="91">
        <v>1486556</v>
      </c>
      <c r="K53" s="91">
        <v>338000</v>
      </c>
      <c r="L53" s="91">
        <v>338000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1148556</v>
      </c>
      <c r="Z53" s="91">
        <v>61182</v>
      </c>
      <c r="AA53" s="91">
        <v>0</v>
      </c>
      <c r="AB53" s="91">
        <v>0</v>
      </c>
      <c r="AC53" s="91">
        <v>1087374</v>
      </c>
      <c r="AD53" s="91">
        <v>0</v>
      </c>
      <c r="AE53" s="91">
        <v>0</v>
      </c>
      <c r="AF53" s="91">
        <v>0</v>
      </c>
      <c r="AG53" s="91">
        <v>0</v>
      </c>
      <c r="AH53" s="91">
        <v>162835</v>
      </c>
      <c r="AI53" s="91">
        <v>0</v>
      </c>
      <c r="AJ53" s="91">
        <v>0</v>
      </c>
      <c r="AK53" s="91">
        <v>162835</v>
      </c>
      <c r="AL53" s="91">
        <v>0</v>
      </c>
    </row>
    <row r="54" spans="1:38" ht="46.5" hidden="1" x14ac:dyDescent="0.25">
      <c r="A54" s="89" t="s">
        <v>532</v>
      </c>
      <c r="B54" s="90" t="s">
        <v>584</v>
      </c>
      <c r="C54" s="90">
        <v>3977219</v>
      </c>
      <c r="D54" s="90" t="str">
        <f>VLOOKUP(C54,'do průběžek'!$A$2:$D$246,2,FALSE)</f>
        <v>Obec</v>
      </c>
      <c r="E54" s="90" t="str">
        <f>VLOOKUP(C54,'do průběžek'!$A$2:$D$246,3,FALSE)</f>
        <v>§40 - Pečovatelská služba</v>
      </c>
      <c r="F54" s="90" t="str">
        <f>VLOOKUP(C54,'do průběžek'!$A$2:$D$246,4,FALSE)</f>
        <v>terénní</v>
      </c>
      <c r="G54" s="90">
        <f>VLOOKUP(C54,'do průběžek'!$H$2:$J$246,2,FALSE)</f>
        <v>2</v>
      </c>
      <c r="H54" s="90">
        <f>VLOOKUP(C54,'do průběžek'!$H$2:$J$246,3,FALSE)</f>
        <v>0</v>
      </c>
      <c r="I54" s="91">
        <v>2002962</v>
      </c>
      <c r="J54" s="91">
        <v>619979</v>
      </c>
      <c r="K54" s="91">
        <v>313000</v>
      </c>
      <c r="L54" s="91">
        <v>313000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306979</v>
      </c>
      <c r="Z54" s="91">
        <v>69173</v>
      </c>
      <c r="AA54" s="91">
        <v>0</v>
      </c>
      <c r="AB54" s="91">
        <v>0</v>
      </c>
      <c r="AC54" s="91">
        <v>237806</v>
      </c>
      <c r="AD54" s="91">
        <v>0</v>
      </c>
      <c r="AE54" s="91">
        <v>0</v>
      </c>
      <c r="AF54" s="91">
        <v>0</v>
      </c>
      <c r="AG54" s="91">
        <v>0</v>
      </c>
      <c r="AH54" s="91">
        <v>137814</v>
      </c>
      <c r="AI54" s="91">
        <v>0</v>
      </c>
      <c r="AJ54" s="91">
        <v>0</v>
      </c>
      <c r="AK54" s="91">
        <v>137814</v>
      </c>
      <c r="AL54" s="91">
        <v>0</v>
      </c>
    </row>
    <row r="55" spans="1:38" ht="46.5" hidden="1" x14ac:dyDescent="0.25">
      <c r="A55" s="89" t="s">
        <v>532</v>
      </c>
      <c r="B55" s="90" t="s">
        <v>585</v>
      </c>
      <c r="C55" s="90">
        <v>7923702</v>
      </c>
      <c r="D55" s="90" t="str">
        <f>VLOOKUP(C55,'do průběžek'!$A$2:$D$246,2,FALSE)</f>
        <v>Obec</v>
      </c>
      <c r="E55" s="90" t="str">
        <f>VLOOKUP(C55,'do průběžek'!$A$2:$D$246,3,FALSE)</f>
        <v>§40 - Pečovatelská služba</v>
      </c>
      <c r="F55" s="90" t="str">
        <f>VLOOKUP(C55,'do průběžek'!$A$2:$D$246,4,FALSE)</f>
        <v>terénní</v>
      </c>
      <c r="G55" s="90">
        <f>VLOOKUP(C55,'do průběžek'!$H$2:$J$246,2,FALSE)</f>
        <v>0.45</v>
      </c>
      <c r="H55" s="90">
        <f>VLOOKUP(C55,'do průběžek'!$H$2:$J$246,3,FALSE)</f>
        <v>0</v>
      </c>
      <c r="I55" s="91">
        <v>628000</v>
      </c>
      <c r="J55" s="91">
        <v>5250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91">
        <v>0</v>
      </c>
      <c r="Y55" s="91">
        <v>5250</v>
      </c>
      <c r="Z55" s="91">
        <v>5250</v>
      </c>
      <c r="AA55" s="91">
        <v>0</v>
      </c>
      <c r="AB55" s="91">
        <v>0</v>
      </c>
      <c r="AC55" s="91">
        <v>0</v>
      </c>
      <c r="AD55" s="91">
        <v>0</v>
      </c>
      <c r="AE55" s="91">
        <v>0</v>
      </c>
      <c r="AF55" s="91">
        <v>0</v>
      </c>
      <c r="AG55" s="91">
        <v>0</v>
      </c>
      <c r="AH55" s="91">
        <v>133800</v>
      </c>
      <c r="AI55" s="91">
        <v>0</v>
      </c>
      <c r="AJ55" s="91">
        <v>0</v>
      </c>
      <c r="AK55" s="91">
        <v>133800</v>
      </c>
      <c r="AL55" s="91">
        <v>0</v>
      </c>
    </row>
    <row r="56" spans="1:38" ht="46.5" hidden="1" x14ac:dyDescent="0.25">
      <c r="A56" s="89" t="s">
        <v>532</v>
      </c>
      <c r="B56" s="90" t="s">
        <v>586</v>
      </c>
      <c r="C56" s="90">
        <v>6191395</v>
      </c>
      <c r="D56" s="90" t="str">
        <f>VLOOKUP(C56,'do průběžek'!$A$2:$D$246,2,FALSE)</f>
        <v>Příspěvková organizace zřízená územním samosprávným celkem</v>
      </c>
      <c r="E56" s="90" t="str">
        <f>VLOOKUP(C56,'do průběžek'!$A$2:$D$246,3,FALSE)</f>
        <v>§40 - Pečovatelská služba</v>
      </c>
      <c r="F56" s="90" t="str">
        <f>VLOOKUP(C56,'do průběžek'!$A$2:$D$246,4,FALSE)</f>
        <v>ambulantní a terénní</v>
      </c>
      <c r="G56" s="90">
        <f>VLOOKUP(C56,'do průběžek'!$H$2:$J$246,2,FALSE)</f>
        <v>6.5</v>
      </c>
      <c r="H56" s="90">
        <f>VLOOKUP(C56,'do průběžek'!$H$2:$J$246,3,FALSE)</f>
        <v>0</v>
      </c>
      <c r="I56" s="91">
        <v>5917107</v>
      </c>
      <c r="J56" s="91">
        <v>4982045</v>
      </c>
      <c r="K56" s="91">
        <v>4680000</v>
      </c>
      <c r="L56" s="91">
        <v>1704000</v>
      </c>
      <c r="M56" s="91">
        <v>0</v>
      </c>
      <c r="N56" s="91">
        <v>0</v>
      </c>
      <c r="O56" s="91">
        <v>0</v>
      </c>
      <c r="P56" s="91">
        <v>0</v>
      </c>
      <c r="Q56" s="91">
        <v>0</v>
      </c>
      <c r="R56" s="91">
        <v>0</v>
      </c>
      <c r="S56" s="91">
        <v>0</v>
      </c>
      <c r="T56" s="91">
        <v>2976000</v>
      </c>
      <c r="U56" s="91">
        <v>0</v>
      </c>
      <c r="V56" s="91">
        <v>0</v>
      </c>
      <c r="W56" s="91">
        <v>0</v>
      </c>
      <c r="X56" s="91">
        <v>0</v>
      </c>
      <c r="Y56" s="91">
        <v>302045</v>
      </c>
      <c r="Z56" s="91">
        <v>262015</v>
      </c>
      <c r="AA56" s="91">
        <v>0</v>
      </c>
      <c r="AB56" s="91">
        <v>0</v>
      </c>
      <c r="AC56" s="91">
        <v>0</v>
      </c>
      <c r="AD56" s="91">
        <v>0</v>
      </c>
      <c r="AE56" s="91">
        <v>0</v>
      </c>
      <c r="AF56" s="91">
        <v>0</v>
      </c>
      <c r="AG56" s="91">
        <v>40030</v>
      </c>
      <c r="AH56" s="91">
        <v>496309</v>
      </c>
      <c r="AI56" s="91">
        <v>26135</v>
      </c>
      <c r="AJ56" s="91">
        <v>0</v>
      </c>
      <c r="AK56" s="91">
        <v>445650</v>
      </c>
      <c r="AL56" s="91">
        <v>24524</v>
      </c>
    </row>
    <row r="57" spans="1:38" ht="46.5" hidden="1" x14ac:dyDescent="0.25">
      <c r="A57" s="89" t="s">
        <v>532</v>
      </c>
      <c r="B57" s="90" t="s">
        <v>587</v>
      </c>
      <c r="C57" s="90">
        <v>5475959</v>
      </c>
      <c r="D57" s="90" t="str">
        <f>VLOOKUP(C57,'do průběžek'!$A$2:$D$246,2,FALSE)</f>
        <v>Příspěvková organizace zřízená územním samosprávným celkem</v>
      </c>
      <c r="E57" s="90" t="str">
        <f>VLOOKUP(C57,'do průběžek'!$A$2:$D$246,3,FALSE)</f>
        <v>§40 - Pečovatelská služba</v>
      </c>
      <c r="F57" s="90" t="str">
        <f>VLOOKUP(C57,'do průběžek'!$A$2:$D$246,4,FALSE)</f>
        <v>ambulantní a terénní</v>
      </c>
      <c r="G57" s="90">
        <f>VLOOKUP(C57,'do průběžek'!$H$2:$J$246,2,FALSE)</f>
        <v>5</v>
      </c>
      <c r="H57" s="90">
        <f>VLOOKUP(C57,'do průběžek'!$H$2:$J$246,3,FALSE)</f>
        <v>0</v>
      </c>
      <c r="I57" s="91">
        <v>4687925</v>
      </c>
      <c r="J57" s="91">
        <v>3202824</v>
      </c>
      <c r="K57" s="91">
        <v>2937000</v>
      </c>
      <c r="L57" s="91">
        <v>1600000</v>
      </c>
      <c r="M57" s="91">
        <v>0</v>
      </c>
      <c r="N57" s="91">
        <v>0</v>
      </c>
      <c r="O57" s="91">
        <v>0</v>
      </c>
      <c r="P57" s="91">
        <v>0</v>
      </c>
      <c r="Q57" s="91">
        <v>0</v>
      </c>
      <c r="R57" s="91">
        <v>0</v>
      </c>
      <c r="S57" s="91">
        <v>0</v>
      </c>
      <c r="T57" s="91">
        <v>1337000</v>
      </c>
      <c r="U57" s="91">
        <v>0</v>
      </c>
      <c r="V57" s="91">
        <v>0</v>
      </c>
      <c r="W57" s="91">
        <v>0</v>
      </c>
      <c r="X57" s="91">
        <v>0</v>
      </c>
      <c r="Y57" s="91">
        <v>265824</v>
      </c>
      <c r="Z57" s="91">
        <v>262941</v>
      </c>
      <c r="AA57" s="91">
        <v>0</v>
      </c>
      <c r="AB57" s="91">
        <v>0</v>
      </c>
      <c r="AC57" s="91">
        <v>0</v>
      </c>
      <c r="AD57" s="91">
        <v>0</v>
      </c>
      <c r="AE57" s="91">
        <v>2883</v>
      </c>
      <c r="AF57" s="91">
        <v>0</v>
      </c>
      <c r="AG57" s="91">
        <v>0</v>
      </c>
      <c r="AH57" s="91">
        <v>428160</v>
      </c>
      <c r="AI57" s="91">
        <v>0</v>
      </c>
      <c r="AJ57" s="91">
        <v>0</v>
      </c>
      <c r="AK57" s="91">
        <v>428160</v>
      </c>
      <c r="AL57" s="91">
        <v>0</v>
      </c>
    </row>
    <row r="58" spans="1:38" ht="46.5" hidden="1" x14ac:dyDescent="0.25">
      <c r="A58" s="89" t="s">
        <v>532</v>
      </c>
      <c r="B58" s="90" t="s">
        <v>588</v>
      </c>
      <c r="C58" s="90">
        <v>1410170</v>
      </c>
      <c r="D58" s="90" t="str">
        <f>VLOOKUP(C58,'do průběžek'!$A$2:$D$246,2,FALSE)</f>
        <v>Příspěvková organizace zřízená územním samosprávným celkem</v>
      </c>
      <c r="E58" s="90" t="str">
        <f>VLOOKUP(C58,'do průběžek'!$A$2:$D$246,3,FALSE)</f>
        <v>§40 - Pečovatelská služba</v>
      </c>
      <c r="F58" s="90" t="str">
        <f>VLOOKUP(C58,'do průběžek'!$A$2:$D$246,4,FALSE)</f>
        <v>ambulantní a terénní</v>
      </c>
      <c r="G58" s="90">
        <f>VLOOKUP(C58,'do průběžek'!$H$2:$J$246,2,FALSE)</f>
        <v>17</v>
      </c>
      <c r="H58" s="90">
        <f>VLOOKUP(C58,'do průběžek'!$H$2:$J$246,3,FALSE)</f>
        <v>0</v>
      </c>
      <c r="I58" s="91">
        <v>14562619</v>
      </c>
      <c r="J58" s="91">
        <v>11030919.34</v>
      </c>
      <c r="K58" s="91">
        <v>9843200</v>
      </c>
      <c r="L58" s="91">
        <v>5757000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4086200</v>
      </c>
      <c r="U58" s="91">
        <v>0</v>
      </c>
      <c r="V58" s="91">
        <v>0</v>
      </c>
      <c r="W58" s="91">
        <v>0</v>
      </c>
      <c r="X58" s="91">
        <v>0</v>
      </c>
      <c r="Y58" s="91">
        <v>1187719.3400000001</v>
      </c>
      <c r="Z58" s="91">
        <v>1163187</v>
      </c>
      <c r="AA58" s="91">
        <v>0</v>
      </c>
      <c r="AB58" s="91">
        <v>0</v>
      </c>
      <c r="AC58" s="91">
        <v>0</v>
      </c>
      <c r="AD58" s="91">
        <v>0</v>
      </c>
      <c r="AE58" s="91">
        <v>24290</v>
      </c>
      <c r="AF58" s="91">
        <v>0</v>
      </c>
      <c r="AG58" s="91">
        <v>242.34</v>
      </c>
      <c r="AH58" s="91">
        <v>1697126</v>
      </c>
      <c r="AI58" s="91">
        <v>257010</v>
      </c>
      <c r="AJ58" s="91">
        <v>0</v>
      </c>
      <c r="AK58" s="91">
        <v>1440116</v>
      </c>
      <c r="AL58" s="91">
        <v>0</v>
      </c>
    </row>
    <row r="59" spans="1:38" ht="46.5" hidden="1" x14ac:dyDescent="0.25">
      <c r="A59" s="89" t="s">
        <v>532</v>
      </c>
      <c r="B59" s="90" t="s">
        <v>589</v>
      </c>
      <c r="C59" s="90">
        <v>6836867</v>
      </c>
      <c r="D59" s="90" t="str">
        <f>VLOOKUP(C59,'do průběžek'!$A$2:$D$246,2,FALSE)</f>
        <v>Příspěvková organizace zřízená územním samosprávným celkem</v>
      </c>
      <c r="E59" s="90" t="str">
        <f>VLOOKUP(C59,'do průběžek'!$A$2:$D$246,3,FALSE)</f>
        <v>§40 - Pečovatelská služba</v>
      </c>
      <c r="F59" s="90" t="str">
        <f>VLOOKUP(C59,'do průběžek'!$A$2:$D$246,4,FALSE)</f>
        <v>ambulantní a terénní</v>
      </c>
      <c r="G59" s="90">
        <f>VLOOKUP(C59,'do průběžek'!$H$2:$J$246,2,FALSE)</f>
        <v>7</v>
      </c>
      <c r="H59" s="90">
        <f>VLOOKUP(C59,'do průběžek'!$H$2:$J$246,3,FALSE)</f>
        <v>0</v>
      </c>
      <c r="I59" s="91">
        <v>6035608</v>
      </c>
      <c r="J59" s="91">
        <v>3076746.04</v>
      </c>
      <c r="K59" s="91">
        <v>2370000</v>
      </c>
      <c r="L59" s="91">
        <v>1930000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440000</v>
      </c>
      <c r="U59" s="91">
        <v>0</v>
      </c>
      <c r="V59" s="91">
        <v>0</v>
      </c>
      <c r="W59" s="91">
        <v>0</v>
      </c>
      <c r="X59" s="91">
        <v>0</v>
      </c>
      <c r="Y59" s="91">
        <v>706746.04</v>
      </c>
      <c r="Z59" s="91">
        <v>437861.04</v>
      </c>
      <c r="AA59" s="91">
        <v>0</v>
      </c>
      <c r="AB59" s="91">
        <v>0</v>
      </c>
      <c r="AC59" s="91">
        <v>0</v>
      </c>
      <c r="AD59" s="91">
        <v>0</v>
      </c>
      <c r="AE59" s="91">
        <v>0</v>
      </c>
      <c r="AF59" s="91">
        <v>0</v>
      </c>
      <c r="AG59" s="91">
        <v>268885</v>
      </c>
      <c r="AH59" s="91">
        <v>540929</v>
      </c>
      <c r="AI59" s="91">
        <v>86009</v>
      </c>
      <c r="AJ59" s="91">
        <v>0</v>
      </c>
      <c r="AK59" s="91">
        <v>454920</v>
      </c>
      <c r="AL59" s="91">
        <v>0</v>
      </c>
    </row>
    <row r="60" spans="1:38" ht="46.5" hidden="1" x14ac:dyDescent="0.25">
      <c r="A60" s="89" t="s">
        <v>532</v>
      </c>
      <c r="B60" s="90" t="s">
        <v>590</v>
      </c>
      <c r="C60" s="90">
        <v>7901485</v>
      </c>
      <c r="D60" s="90" t="str">
        <f>VLOOKUP(C60,'do průběžek'!$A$2:$D$246,2,FALSE)</f>
        <v>Příspěvková organizace zřízená územním samosprávným celkem</v>
      </c>
      <c r="E60" s="90" t="str">
        <f>VLOOKUP(C60,'do průběžek'!$A$2:$D$246,3,FALSE)</f>
        <v>§40 - Pečovatelská služba</v>
      </c>
      <c r="F60" s="90" t="str">
        <f>VLOOKUP(C60,'do průběžek'!$A$2:$D$246,4,FALSE)</f>
        <v>ambulantní a terénní</v>
      </c>
      <c r="G60" s="90">
        <f>VLOOKUP(C60,'do průběžek'!$H$2:$J$246,2,FALSE)</f>
        <v>16.600000000000001</v>
      </c>
      <c r="H60" s="90">
        <f>VLOOKUP(C60,'do průběžek'!$H$2:$J$246,3,FALSE)</f>
        <v>0</v>
      </c>
      <c r="I60" s="91">
        <v>15915871</v>
      </c>
      <c r="J60" s="91">
        <v>10231227</v>
      </c>
      <c r="K60" s="91">
        <v>9774000</v>
      </c>
      <c r="L60" s="91">
        <v>4049000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5725000</v>
      </c>
      <c r="U60" s="91">
        <v>0</v>
      </c>
      <c r="V60" s="91">
        <v>0</v>
      </c>
      <c r="W60" s="91">
        <v>0</v>
      </c>
      <c r="X60" s="91">
        <v>0</v>
      </c>
      <c r="Y60" s="91">
        <v>457227</v>
      </c>
      <c r="Z60" s="91">
        <v>399873</v>
      </c>
      <c r="AA60" s="91">
        <v>0</v>
      </c>
      <c r="AB60" s="91">
        <v>0</v>
      </c>
      <c r="AC60" s="91">
        <v>0</v>
      </c>
      <c r="AD60" s="91">
        <v>0</v>
      </c>
      <c r="AE60" s="91">
        <v>57354</v>
      </c>
      <c r="AF60" s="91">
        <v>0</v>
      </c>
      <c r="AG60" s="91">
        <v>0</v>
      </c>
      <c r="AH60" s="91">
        <v>1234996</v>
      </c>
      <c r="AI60" s="91">
        <v>76261</v>
      </c>
      <c r="AJ60" s="91">
        <v>0</v>
      </c>
      <c r="AK60" s="91">
        <v>1158735</v>
      </c>
      <c r="AL60" s="91">
        <v>0</v>
      </c>
    </row>
    <row r="61" spans="1:38" ht="46.5" hidden="1" x14ac:dyDescent="0.25">
      <c r="A61" s="89" t="s">
        <v>532</v>
      </c>
      <c r="B61" s="90" t="s">
        <v>591</v>
      </c>
      <c r="C61" s="90">
        <v>3949768</v>
      </c>
      <c r="D61" s="90" t="str">
        <f>VLOOKUP(C61,'do průběžek'!$A$2:$D$246,2,FALSE)</f>
        <v>Příspěvková organizace zřízená územním samosprávným celkem</v>
      </c>
      <c r="E61" s="90" t="str">
        <f>VLOOKUP(C61,'do průběžek'!$A$2:$D$246,3,FALSE)</f>
        <v>§40 - Pečovatelská služba</v>
      </c>
      <c r="F61" s="90" t="str">
        <f>VLOOKUP(C61,'do průběžek'!$A$2:$D$246,4,FALSE)</f>
        <v>ambulantní a terénní</v>
      </c>
      <c r="G61" s="90">
        <f>VLOOKUP(C61,'do průběžek'!$H$2:$J$246,2,FALSE)</f>
        <v>6.1</v>
      </c>
      <c r="H61" s="90">
        <f>VLOOKUP(C61,'do průběžek'!$H$2:$J$246,3,FALSE)</f>
        <v>0</v>
      </c>
      <c r="I61" s="91">
        <v>5468987</v>
      </c>
      <c r="J61" s="91">
        <v>3461560</v>
      </c>
      <c r="K61" s="91">
        <v>2770000</v>
      </c>
      <c r="L61" s="91">
        <v>1910000</v>
      </c>
      <c r="M61" s="91">
        <v>0</v>
      </c>
      <c r="N61" s="91">
        <v>0</v>
      </c>
      <c r="O61" s="91">
        <v>0</v>
      </c>
      <c r="P61" s="91">
        <v>0</v>
      </c>
      <c r="Q61" s="91">
        <v>0</v>
      </c>
      <c r="R61" s="91">
        <v>0</v>
      </c>
      <c r="S61" s="91">
        <v>0</v>
      </c>
      <c r="T61" s="91">
        <v>860000</v>
      </c>
      <c r="U61" s="91">
        <v>0</v>
      </c>
      <c r="V61" s="91">
        <v>0</v>
      </c>
      <c r="W61" s="91">
        <v>0</v>
      </c>
      <c r="X61" s="91">
        <v>0</v>
      </c>
      <c r="Y61" s="91">
        <v>691560</v>
      </c>
      <c r="Z61" s="91">
        <v>331537</v>
      </c>
      <c r="AA61" s="91">
        <v>0</v>
      </c>
      <c r="AB61" s="91">
        <v>0</v>
      </c>
      <c r="AC61" s="91">
        <v>0</v>
      </c>
      <c r="AD61" s="91">
        <v>0</v>
      </c>
      <c r="AE61" s="91">
        <v>0</v>
      </c>
      <c r="AF61" s="91">
        <v>0</v>
      </c>
      <c r="AG61" s="91">
        <v>360023</v>
      </c>
      <c r="AH61" s="91">
        <v>492812</v>
      </c>
      <c r="AI61" s="91">
        <v>0</v>
      </c>
      <c r="AJ61" s="91">
        <v>0</v>
      </c>
      <c r="AK61" s="91">
        <v>492812</v>
      </c>
      <c r="AL61" s="91">
        <v>0</v>
      </c>
    </row>
    <row r="62" spans="1:38" ht="46.5" hidden="1" x14ac:dyDescent="0.25">
      <c r="A62" s="89" t="s">
        <v>532</v>
      </c>
      <c r="B62" s="90" t="s">
        <v>592</v>
      </c>
      <c r="C62" s="90">
        <v>7253089</v>
      </c>
      <c r="D62" s="90" t="str">
        <f>VLOOKUP(C62,'do průběžek'!$A$2:$D$246,2,FALSE)</f>
        <v>Obecně prospěšná společnost</v>
      </c>
      <c r="E62" s="90" t="str">
        <f>VLOOKUP(C62,'do průběžek'!$A$2:$D$246,3,FALSE)</f>
        <v>§40 - Pečovatelská služba</v>
      </c>
      <c r="F62" s="90" t="str">
        <f>VLOOKUP(C62,'do průběžek'!$A$2:$D$246,4,FALSE)</f>
        <v>ambulantní a terénní</v>
      </c>
      <c r="G62" s="90">
        <f>VLOOKUP(C62,'do průběžek'!$H$2:$J$246,2,FALSE)</f>
        <v>5</v>
      </c>
      <c r="H62" s="90">
        <f>VLOOKUP(C62,'do průběžek'!$H$2:$J$246,3,FALSE)</f>
        <v>0</v>
      </c>
      <c r="I62" s="91">
        <v>4589005</v>
      </c>
      <c r="J62" s="91">
        <v>1825305</v>
      </c>
      <c r="K62" s="91">
        <v>1487353</v>
      </c>
      <c r="L62" s="91">
        <v>1449000</v>
      </c>
      <c r="M62" s="91">
        <v>0</v>
      </c>
      <c r="N62" s="91">
        <v>0</v>
      </c>
      <c r="O62" s="91">
        <v>0</v>
      </c>
      <c r="P62" s="91">
        <v>0</v>
      </c>
      <c r="Q62" s="91">
        <v>0</v>
      </c>
      <c r="R62" s="91">
        <v>0</v>
      </c>
      <c r="S62" s="91">
        <v>38353</v>
      </c>
      <c r="T62" s="91">
        <v>0</v>
      </c>
      <c r="U62" s="91">
        <v>0</v>
      </c>
      <c r="V62" s="91">
        <v>0</v>
      </c>
      <c r="W62" s="91">
        <v>0</v>
      </c>
      <c r="X62" s="91">
        <v>0</v>
      </c>
      <c r="Y62" s="91">
        <v>337952</v>
      </c>
      <c r="Z62" s="91">
        <v>287560</v>
      </c>
      <c r="AA62" s="91">
        <v>0</v>
      </c>
      <c r="AB62" s="91">
        <v>0</v>
      </c>
      <c r="AC62" s="91">
        <v>0</v>
      </c>
      <c r="AD62" s="91">
        <v>50392</v>
      </c>
      <c r="AE62" s="91">
        <v>0</v>
      </c>
      <c r="AF62" s="91">
        <v>0</v>
      </c>
      <c r="AG62" s="91">
        <v>0</v>
      </c>
      <c r="AH62" s="91">
        <v>374613</v>
      </c>
      <c r="AI62" s="91">
        <v>6199</v>
      </c>
      <c r="AJ62" s="91">
        <v>9750</v>
      </c>
      <c r="AK62" s="91">
        <v>358664</v>
      </c>
      <c r="AL62" s="91">
        <v>0</v>
      </c>
    </row>
    <row r="63" spans="1:38" ht="46.5" hidden="1" x14ac:dyDescent="0.25">
      <c r="A63" s="89" t="s">
        <v>532</v>
      </c>
      <c r="B63" s="90" t="s">
        <v>593</v>
      </c>
      <c r="C63" s="90">
        <v>5773192</v>
      </c>
      <c r="D63" s="90" t="str">
        <f>VLOOKUP(C63,'do průběžek'!$A$2:$D$246,2,FALSE)</f>
        <v>Společnost s ručením omezeným</v>
      </c>
      <c r="E63" s="90" t="str">
        <f>VLOOKUP(C63,'do průběžek'!$A$2:$D$246,3,FALSE)</f>
        <v>§40 - Pečovatelská služba</v>
      </c>
      <c r="F63" s="90" t="str">
        <f>VLOOKUP(C63,'do průběžek'!$A$2:$D$246,4,FALSE)</f>
        <v>terénní</v>
      </c>
      <c r="G63" s="90">
        <f>VLOOKUP(C63,'do průběžek'!$H$2:$J$246,2,FALSE)</f>
        <v>8.7200000000000006</v>
      </c>
      <c r="H63" s="90">
        <f>VLOOKUP(C63,'do průběžek'!$H$2:$J$246,3,FALSE)</f>
        <v>0</v>
      </c>
      <c r="I63" s="91">
        <v>8060105</v>
      </c>
      <c r="J63" s="91">
        <v>3829161</v>
      </c>
      <c r="K63" s="91">
        <v>3191643</v>
      </c>
      <c r="L63" s="91">
        <v>2599000</v>
      </c>
      <c r="M63" s="91">
        <v>0</v>
      </c>
      <c r="N63" s="91">
        <v>0</v>
      </c>
      <c r="O63" s="91">
        <v>0</v>
      </c>
      <c r="P63" s="91">
        <v>0</v>
      </c>
      <c r="Q63" s="91">
        <v>0</v>
      </c>
      <c r="R63" s="91">
        <v>0</v>
      </c>
      <c r="S63" s="91">
        <v>592643</v>
      </c>
      <c r="T63" s="91">
        <v>0</v>
      </c>
      <c r="U63" s="91">
        <v>0</v>
      </c>
      <c r="V63" s="91">
        <v>0</v>
      </c>
      <c r="W63" s="91">
        <v>0</v>
      </c>
      <c r="X63" s="91">
        <v>0</v>
      </c>
      <c r="Y63" s="91">
        <v>637518</v>
      </c>
      <c r="Z63" s="91">
        <v>634262</v>
      </c>
      <c r="AA63" s="91">
        <v>0</v>
      </c>
      <c r="AB63" s="91">
        <v>0</v>
      </c>
      <c r="AC63" s="91">
        <v>0</v>
      </c>
      <c r="AD63" s="91">
        <v>0</v>
      </c>
      <c r="AE63" s="91">
        <v>3256</v>
      </c>
      <c r="AF63" s="91">
        <v>0</v>
      </c>
      <c r="AG63" s="91">
        <v>0</v>
      </c>
      <c r="AH63" s="91">
        <v>632009</v>
      </c>
      <c r="AI63" s="91">
        <v>0</v>
      </c>
      <c r="AJ63" s="91">
        <v>0</v>
      </c>
      <c r="AK63" s="91">
        <v>632009</v>
      </c>
      <c r="AL63" s="91">
        <v>0</v>
      </c>
    </row>
    <row r="64" spans="1:38" ht="46.5" hidden="1" x14ac:dyDescent="0.25">
      <c r="A64" s="89" t="s">
        <v>532</v>
      </c>
      <c r="B64" s="90" t="s">
        <v>594</v>
      </c>
      <c r="C64" s="90">
        <v>8719331</v>
      </c>
      <c r="D64" s="90" t="str">
        <f>VLOOKUP(C64,'do průběžek'!$A$2:$D$246,2,FALSE)</f>
        <v>Příspěvková organizace zřízená územním samosprávným celkem</v>
      </c>
      <c r="E64" s="90" t="str">
        <f>VLOOKUP(C64,'do průběžek'!$A$2:$D$246,3,FALSE)</f>
        <v>§40 - Pečovatelská služba</v>
      </c>
      <c r="F64" s="90" t="str">
        <f>VLOOKUP(C64,'do průběžek'!$A$2:$D$246,4,FALSE)</f>
        <v>ambulantní a terénní</v>
      </c>
      <c r="G64" s="90">
        <f>VLOOKUP(C64,'do průběžek'!$H$2:$J$246,2,FALSE)</f>
        <v>24.22</v>
      </c>
      <c r="H64" s="90">
        <f>VLOOKUP(C64,'do průběžek'!$H$2:$J$246,3,FALSE)</f>
        <v>0</v>
      </c>
      <c r="I64" s="91">
        <v>22748022</v>
      </c>
      <c r="J64" s="91">
        <v>14637638.92</v>
      </c>
      <c r="K64" s="91">
        <v>13167000</v>
      </c>
      <c r="L64" s="91">
        <v>7295000</v>
      </c>
      <c r="M64" s="91">
        <v>0</v>
      </c>
      <c r="N64" s="91">
        <v>0</v>
      </c>
      <c r="O64" s="91">
        <v>0</v>
      </c>
      <c r="P64" s="91">
        <v>0</v>
      </c>
      <c r="Q64" s="91">
        <v>0</v>
      </c>
      <c r="R64" s="91">
        <v>0</v>
      </c>
      <c r="S64" s="91">
        <v>0</v>
      </c>
      <c r="T64" s="91">
        <v>5872000</v>
      </c>
      <c r="U64" s="91">
        <v>0</v>
      </c>
      <c r="V64" s="91">
        <v>0</v>
      </c>
      <c r="W64" s="91">
        <v>0</v>
      </c>
      <c r="X64" s="91">
        <v>0</v>
      </c>
      <c r="Y64" s="91">
        <v>1470638.92</v>
      </c>
      <c r="Z64" s="91">
        <v>1381237</v>
      </c>
      <c r="AA64" s="91">
        <v>0</v>
      </c>
      <c r="AB64" s="91">
        <v>0</v>
      </c>
      <c r="AC64" s="91">
        <v>0</v>
      </c>
      <c r="AD64" s="91">
        <v>755</v>
      </c>
      <c r="AE64" s="91">
        <v>0</v>
      </c>
      <c r="AF64" s="91">
        <v>0</v>
      </c>
      <c r="AG64" s="91">
        <v>88646.92</v>
      </c>
      <c r="AH64" s="91">
        <v>1643011</v>
      </c>
      <c r="AI64" s="91">
        <v>51540</v>
      </c>
      <c r="AJ64" s="91">
        <v>0</v>
      </c>
      <c r="AK64" s="91">
        <v>1591471</v>
      </c>
      <c r="AL64" s="91">
        <v>0</v>
      </c>
    </row>
    <row r="65" spans="1:38" ht="46.5" hidden="1" x14ac:dyDescent="0.25">
      <c r="A65" s="89" t="s">
        <v>532</v>
      </c>
      <c r="B65" s="90" t="s">
        <v>595</v>
      </c>
      <c r="C65" s="90">
        <v>8384795</v>
      </c>
      <c r="D65" s="90" t="str">
        <f>VLOOKUP(C65,'do průběžek'!$A$2:$D$246,2,FALSE)</f>
        <v>Ústav</v>
      </c>
      <c r="E65" s="90" t="str">
        <f>VLOOKUP(C65,'do průběžek'!$A$2:$D$246,3,FALSE)</f>
        <v>§41 - Tísňová péče</v>
      </c>
      <c r="F65" s="90" t="str">
        <f>VLOOKUP(C65,'do průběžek'!$A$2:$D$246,4,FALSE)</f>
        <v>terénní</v>
      </c>
      <c r="G65" s="90">
        <f>VLOOKUP(C65,'do průběžek'!$H$2:$J$246,2,FALSE)</f>
        <v>3.8</v>
      </c>
      <c r="H65" s="90">
        <f>VLOOKUP(C65,'do průběžek'!$H$2:$J$246,3,FALSE)</f>
        <v>0</v>
      </c>
      <c r="I65" s="91">
        <v>0</v>
      </c>
      <c r="J65" s="91">
        <v>22070654</v>
      </c>
      <c r="K65" s="91">
        <v>20096428</v>
      </c>
      <c r="L65" s="91">
        <v>19666500</v>
      </c>
      <c r="M65" s="91">
        <v>0</v>
      </c>
      <c r="N65" s="91">
        <v>81000</v>
      </c>
      <c r="O65" s="91">
        <v>0</v>
      </c>
      <c r="P65" s="91">
        <v>0</v>
      </c>
      <c r="Q65" s="91">
        <v>0</v>
      </c>
      <c r="R65" s="91">
        <v>0</v>
      </c>
      <c r="S65" s="91">
        <v>245000</v>
      </c>
      <c r="T65" s="91">
        <v>0</v>
      </c>
      <c r="U65" s="91">
        <v>0</v>
      </c>
      <c r="V65" s="91">
        <v>0</v>
      </c>
      <c r="W65" s="91">
        <v>0</v>
      </c>
      <c r="X65" s="91">
        <v>103928</v>
      </c>
      <c r="Y65" s="91">
        <v>1974226</v>
      </c>
      <c r="Z65" s="91">
        <v>574828</v>
      </c>
      <c r="AA65" s="91">
        <v>595531</v>
      </c>
      <c r="AB65" s="91">
        <v>0</v>
      </c>
      <c r="AC65" s="91">
        <v>0</v>
      </c>
      <c r="AD65" s="91">
        <v>597811</v>
      </c>
      <c r="AE65" s="91">
        <v>79552</v>
      </c>
      <c r="AF65" s="91">
        <v>0</v>
      </c>
      <c r="AG65" s="91">
        <v>126504</v>
      </c>
      <c r="AH65" s="91">
        <v>726652</v>
      </c>
      <c r="AI65" s="91">
        <v>0</v>
      </c>
      <c r="AJ65" s="91">
        <v>0</v>
      </c>
      <c r="AK65" s="91">
        <v>724072</v>
      </c>
      <c r="AL65" s="91">
        <v>2580</v>
      </c>
    </row>
    <row r="66" spans="1:38" ht="46.5" hidden="1" x14ac:dyDescent="0.25">
      <c r="A66" s="89" t="s">
        <v>532</v>
      </c>
      <c r="B66" s="90" t="s">
        <v>596</v>
      </c>
      <c r="C66" s="90">
        <v>2684509</v>
      </c>
      <c r="D66" s="90" t="str">
        <f>VLOOKUP(C66,'do průběžek'!$A$2:$D$246,2,FALSE)</f>
        <v>Ústav</v>
      </c>
      <c r="E66" s="90" t="str">
        <f>VLOOKUP(C66,'do průběžek'!$A$2:$D$246,3,FALSE)</f>
        <v>§41 - Tísňová péče</v>
      </c>
      <c r="F66" s="90" t="str">
        <f>VLOOKUP(C66,'do průběžek'!$A$2:$D$246,4,FALSE)</f>
        <v>terénní</v>
      </c>
      <c r="G66" s="90">
        <f>VLOOKUP(C66,'do průběžek'!$H$2:$J$246,2,FALSE)</f>
        <v>1.6</v>
      </c>
      <c r="H66" s="90">
        <f>VLOOKUP(C66,'do průběžek'!$H$2:$J$246,3,FALSE)</f>
        <v>0</v>
      </c>
      <c r="I66" s="91">
        <v>1385664</v>
      </c>
      <c r="J66" s="91">
        <v>85604</v>
      </c>
      <c r="K66" s="91">
        <v>48204</v>
      </c>
      <c r="L66" s="91">
        <v>0</v>
      </c>
      <c r="M66" s="91">
        <v>0</v>
      </c>
      <c r="N66" s="91">
        <v>0</v>
      </c>
      <c r="O66" s="91">
        <v>0</v>
      </c>
      <c r="P66" s="91">
        <v>0</v>
      </c>
      <c r="Q66" s="91">
        <v>0</v>
      </c>
      <c r="R66" s="91">
        <v>5959</v>
      </c>
      <c r="S66" s="91">
        <v>0</v>
      </c>
      <c r="T66" s="91">
        <v>0</v>
      </c>
      <c r="U66" s="91">
        <v>0</v>
      </c>
      <c r="V66" s="91">
        <v>0</v>
      </c>
      <c r="W66" s="91">
        <v>0</v>
      </c>
      <c r="X66" s="91">
        <v>42245</v>
      </c>
      <c r="Y66" s="91">
        <v>37400</v>
      </c>
      <c r="Z66" s="91">
        <v>5400</v>
      </c>
      <c r="AA66" s="91">
        <v>0</v>
      </c>
      <c r="AB66" s="91">
        <v>0</v>
      </c>
      <c r="AC66" s="91">
        <v>0</v>
      </c>
      <c r="AD66" s="91">
        <v>32000</v>
      </c>
      <c r="AE66" s="91">
        <v>0</v>
      </c>
      <c r="AF66" s="91">
        <v>0</v>
      </c>
      <c r="AG66" s="91">
        <v>0</v>
      </c>
      <c r="AH66" s="91">
        <v>0</v>
      </c>
      <c r="AI66" s="91">
        <v>0</v>
      </c>
      <c r="AJ66" s="91">
        <v>0</v>
      </c>
      <c r="AK66" s="91">
        <v>0</v>
      </c>
      <c r="AL66" s="91">
        <v>0</v>
      </c>
    </row>
    <row r="67" spans="1:38" ht="46.5" hidden="1" x14ac:dyDescent="0.25">
      <c r="A67" s="89" t="s">
        <v>532</v>
      </c>
      <c r="B67" s="90" t="s">
        <v>597</v>
      </c>
      <c r="C67" s="90">
        <v>5293407</v>
      </c>
      <c r="D67" s="90" t="str">
        <f>VLOOKUP(C67,'do průběžek'!$A$2:$D$246,2,FALSE)</f>
        <v>Obecně prospěšná společnost</v>
      </c>
      <c r="E67" s="90" t="s">
        <v>459</v>
      </c>
      <c r="F67" s="90" t="str">
        <f>VLOOKUP(C67,'do průběžek'!$A$2:$D$246,4,FALSE)</f>
        <v>ambulantní a terénní</v>
      </c>
      <c r="G67" s="90">
        <f>VLOOKUP(C67,'do průběžek'!$H$2:$J$246,2,FALSE)</f>
        <v>0.75</v>
      </c>
      <c r="H67" s="90">
        <f>VLOOKUP(C67,'do průběžek'!$H$2:$J$246,3,FALSE)</f>
        <v>0</v>
      </c>
      <c r="I67" s="91">
        <v>728480</v>
      </c>
      <c r="J67" s="91">
        <v>255741</v>
      </c>
      <c r="K67" s="91">
        <v>216000</v>
      </c>
      <c r="L67" s="91">
        <v>216000</v>
      </c>
      <c r="M67" s="91">
        <v>0</v>
      </c>
      <c r="N67" s="91">
        <v>0</v>
      </c>
      <c r="O67" s="91">
        <v>0</v>
      </c>
      <c r="P67" s="91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39741</v>
      </c>
      <c r="Z67" s="91">
        <v>4500</v>
      </c>
      <c r="AA67" s="91">
        <v>35241</v>
      </c>
      <c r="AB67" s="91">
        <v>0</v>
      </c>
      <c r="AC67" s="91">
        <v>0</v>
      </c>
      <c r="AD67" s="91">
        <v>0</v>
      </c>
      <c r="AE67" s="91">
        <v>0</v>
      </c>
      <c r="AF67" s="91">
        <v>0</v>
      </c>
      <c r="AG67" s="91">
        <v>0</v>
      </c>
      <c r="AH67" s="91">
        <v>0</v>
      </c>
      <c r="AI67" s="91">
        <v>0</v>
      </c>
      <c r="AJ67" s="91">
        <v>0</v>
      </c>
      <c r="AK67" s="91">
        <v>0</v>
      </c>
      <c r="AL67" s="91">
        <v>0</v>
      </c>
    </row>
    <row r="68" spans="1:38" ht="46.5" hidden="1" x14ac:dyDescent="0.25">
      <c r="A68" s="89" t="s">
        <v>532</v>
      </c>
      <c r="B68" s="90" t="s">
        <v>598</v>
      </c>
      <c r="C68" s="90">
        <v>3596108</v>
      </c>
      <c r="D68" s="90" t="str">
        <f>VLOOKUP(C68,'do průběžek'!$A$2:$D$246,2,FALSE)</f>
        <v>Obecně prospěšná společnost</v>
      </c>
      <c r="E68" s="90" t="str">
        <f>VLOOKUP(C68,'do průběžek'!$A$2:$D$246,3,FALSE)</f>
        <v>§43 - Podpora samostatného bydlení</v>
      </c>
      <c r="F68" s="90" t="str">
        <f>VLOOKUP(C68,'do průběžek'!$A$2:$D$246,4,FALSE)</f>
        <v>terénní</v>
      </c>
      <c r="G68" s="90">
        <f>VLOOKUP(C68,'do průběžek'!$H$2:$J$246,2,FALSE)</f>
        <v>11</v>
      </c>
      <c r="H68" s="90">
        <f>VLOOKUP(C68,'do průběžek'!$H$2:$J$246,3,FALSE)</f>
        <v>0</v>
      </c>
      <c r="I68" s="91">
        <v>11344467</v>
      </c>
      <c r="J68" s="91">
        <v>5704551</v>
      </c>
      <c r="K68" s="91">
        <v>5617827</v>
      </c>
      <c r="L68" s="91">
        <v>4484000</v>
      </c>
      <c r="M68" s="91">
        <v>0</v>
      </c>
      <c r="N68" s="91">
        <v>283000</v>
      </c>
      <c r="O68" s="91">
        <v>0</v>
      </c>
      <c r="P68" s="91">
        <v>0</v>
      </c>
      <c r="Q68" s="91">
        <v>0</v>
      </c>
      <c r="R68" s="91">
        <v>0</v>
      </c>
      <c r="S68" s="91">
        <v>584489</v>
      </c>
      <c r="T68" s="91">
        <v>0</v>
      </c>
      <c r="U68" s="91">
        <v>0</v>
      </c>
      <c r="V68" s="91">
        <v>266338</v>
      </c>
      <c r="W68" s="91">
        <v>0</v>
      </c>
      <c r="X68" s="91">
        <v>0</v>
      </c>
      <c r="Y68" s="91">
        <v>86724</v>
      </c>
      <c r="Z68" s="91">
        <v>86724</v>
      </c>
      <c r="AA68" s="91">
        <v>0</v>
      </c>
      <c r="AB68" s="91">
        <v>0</v>
      </c>
      <c r="AC68" s="91">
        <v>0</v>
      </c>
      <c r="AD68" s="91">
        <v>0</v>
      </c>
      <c r="AE68" s="91">
        <v>0</v>
      </c>
      <c r="AF68" s="91">
        <v>0</v>
      </c>
      <c r="AG68" s="91">
        <v>0</v>
      </c>
      <c r="AH68" s="91">
        <v>379259</v>
      </c>
      <c r="AI68" s="91">
        <v>0</v>
      </c>
      <c r="AJ68" s="91">
        <v>0</v>
      </c>
      <c r="AK68" s="91">
        <v>379259</v>
      </c>
      <c r="AL68" s="91">
        <v>0</v>
      </c>
    </row>
    <row r="69" spans="1:38" ht="46.5" hidden="1" x14ac:dyDescent="0.25">
      <c r="A69" s="89" t="s">
        <v>532</v>
      </c>
      <c r="B69" s="90" t="s">
        <v>599</v>
      </c>
      <c r="C69" s="90">
        <v>7471836</v>
      </c>
      <c r="D69" s="90" t="str">
        <f>VLOOKUP(C69,'do průběžek'!$A$2:$D$246,2,FALSE)</f>
        <v>Spolek</v>
      </c>
      <c r="E69" s="90" t="str">
        <f>VLOOKUP(C69,'do průběžek'!$A$2:$D$246,3,FALSE)</f>
        <v>§43 - Podpora samostatného bydlení</v>
      </c>
      <c r="F69" s="90" t="str">
        <f>VLOOKUP(C69,'do průběžek'!$A$2:$D$246,4,FALSE)</f>
        <v>terénní</v>
      </c>
      <c r="G69" s="90">
        <f>VLOOKUP(C69,'do průběžek'!$H$2:$J$246,2,FALSE)</f>
        <v>5</v>
      </c>
      <c r="H69" s="90">
        <f>VLOOKUP(C69,'do průběžek'!$H$2:$J$246,3,FALSE)</f>
        <v>0</v>
      </c>
      <c r="I69" s="91">
        <v>5074000</v>
      </c>
      <c r="J69" s="91">
        <v>4273500</v>
      </c>
      <c r="K69" s="91">
        <v>4273500</v>
      </c>
      <c r="L69" s="91">
        <v>3929500</v>
      </c>
      <c r="M69" s="91">
        <v>0</v>
      </c>
      <c r="N69" s="91">
        <v>129000</v>
      </c>
      <c r="O69" s="91">
        <v>0</v>
      </c>
      <c r="P69" s="91">
        <v>0</v>
      </c>
      <c r="Q69" s="91">
        <v>0</v>
      </c>
      <c r="R69" s="91">
        <v>0</v>
      </c>
      <c r="S69" s="91">
        <v>215000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  <c r="AE69" s="91">
        <v>0</v>
      </c>
      <c r="AF69" s="91">
        <v>0</v>
      </c>
      <c r="AG69" s="91">
        <v>0</v>
      </c>
      <c r="AH69" s="91">
        <v>145976</v>
      </c>
      <c r="AI69" s="91">
        <v>0</v>
      </c>
      <c r="AJ69" s="91">
        <v>0</v>
      </c>
      <c r="AK69" s="91">
        <v>145976</v>
      </c>
      <c r="AL69" s="91">
        <v>0</v>
      </c>
    </row>
    <row r="70" spans="1:38" ht="46.5" hidden="1" x14ac:dyDescent="0.25">
      <c r="A70" s="89" t="s">
        <v>532</v>
      </c>
      <c r="B70" s="90" t="s">
        <v>600</v>
      </c>
      <c r="C70" s="90">
        <v>4353078</v>
      </c>
      <c r="D70" s="90" t="str">
        <f>VLOOKUP(C70,'do průběžek'!$A$2:$D$246,2,FALSE)</f>
        <v>Ústav</v>
      </c>
      <c r="E70" s="90" t="str">
        <f>VLOOKUP(C70,'do průběžek'!$A$2:$D$246,3,FALSE)</f>
        <v>§43 - Podpora samostatného bydlení</v>
      </c>
      <c r="F70" s="90" t="str">
        <f>VLOOKUP(C70,'do průběžek'!$A$2:$D$246,4,FALSE)</f>
        <v>terénní</v>
      </c>
      <c r="G70" s="90">
        <f>VLOOKUP(C70,'do průběžek'!$H$2:$J$246,2,FALSE)</f>
        <v>4.8</v>
      </c>
      <c r="H70" s="90">
        <f>VLOOKUP(C70,'do průběžek'!$H$2:$J$246,3,FALSE)</f>
        <v>0</v>
      </c>
      <c r="I70" s="91">
        <v>4789240</v>
      </c>
      <c r="J70" s="91">
        <v>2314239</v>
      </c>
      <c r="K70" s="91">
        <v>2193571</v>
      </c>
      <c r="L70" s="91">
        <v>1953000</v>
      </c>
      <c r="M70" s="91">
        <v>0</v>
      </c>
      <c r="N70" s="91">
        <v>124000</v>
      </c>
      <c r="O70" s="91">
        <v>0</v>
      </c>
      <c r="P70" s="91">
        <v>0</v>
      </c>
      <c r="Q70" s="91">
        <v>0</v>
      </c>
      <c r="R70" s="91">
        <v>0</v>
      </c>
      <c r="S70" s="91">
        <v>116571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120668</v>
      </c>
      <c r="Z70" s="91">
        <v>120668</v>
      </c>
      <c r="AA70" s="91">
        <v>0</v>
      </c>
      <c r="AB70" s="91">
        <v>0</v>
      </c>
      <c r="AC70" s="91">
        <v>0</v>
      </c>
      <c r="AD70" s="91">
        <v>0</v>
      </c>
      <c r="AE70" s="91">
        <v>0</v>
      </c>
      <c r="AF70" s="91">
        <v>0</v>
      </c>
      <c r="AG70" s="91">
        <v>0</v>
      </c>
      <c r="AH70" s="91">
        <v>188785</v>
      </c>
      <c r="AI70" s="91">
        <v>36428</v>
      </c>
      <c r="AJ70" s="91">
        <v>0</v>
      </c>
      <c r="AK70" s="91">
        <v>152357</v>
      </c>
      <c r="AL70" s="91">
        <v>0</v>
      </c>
    </row>
    <row r="71" spans="1:38" ht="46.5" hidden="1" x14ac:dyDescent="0.25">
      <c r="A71" s="89" t="s">
        <v>532</v>
      </c>
      <c r="B71" s="90" t="s">
        <v>601</v>
      </c>
      <c r="C71" s="90">
        <v>9450189</v>
      </c>
      <c r="D71" s="90" t="str">
        <f>VLOOKUP(C71,'do průběžek'!$A$2:$D$246,2,FALSE)</f>
        <v>Akciová společnost</v>
      </c>
      <c r="E71" s="90" t="str">
        <f>VLOOKUP(C71,'do průběžek'!$A$2:$D$246,3,FALSE)</f>
        <v>§44 - Odlehčovací služby</v>
      </c>
      <c r="F71" s="90" t="str">
        <f>VLOOKUP(C71,'do průběžek'!$A$2:$D$246,4,FALSE)</f>
        <v>pobytová</v>
      </c>
      <c r="G71" s="90">
        <f>VLOOKUP(C71,'do průběžek'!$H$2:$J$246,2,FALSE)</f>
        <v>6.45</v>
      </c>
      <c r="H71" s="90">
        <f>VLOOKUP(C71,'do průběžek'!$H$2:$J$246,3,FALSE)</f>
        <v>5</v>
      </c>
      <c r="I71" s="91">
        <v>4438494</v>
      </c>
      <c r="J71" s="91">
        <v>2140127</v>
      </c>
      <c r="K71" s="91">
        <v>1302066</v>
      </c>
      <c r="L71" s="91">
        <v>1063000</v>
      </c>
      <c r="M71" s="91">
        <v>0</v>
      </c>
      <c r="N71" s="91">
        <v>0</v>
      </c>
      <c r="O71" s="91">
        <v>0</v>
      </c>
      <c r="P71" s="91">
        <v>0</v>
      </c>
      <c r="Q71" s="91">
        <v>0</v>
      </c>
      <c r="R71" s="91">
        <v>0</v>
      </c>
      <c r="S71" s="91">
        <v>239066</v>
      </c>
      <c r="T71" s="91">
        <v>0</v>
      </c>
      <c r="U71" s="91">
        <v>0</v>
      </c>
      <c r="V71" s="91">
        <v>0</v>
      </c>
      <c r="W71" s="91">
        <v>0</v>
      </c>
      <c r="X71" s="91">
        <v>0</v>
      </c>
      <c r="Y71" s="91">
        <v>838061</v>
      </c>
      <c r="Z71" s="91">
        <v>384736</v>
      </c>
      <c r="AA71" s="91">
        <v>449897</v>
      </c>
      <c r="AB71" s="91">
        <v>0</v>
      </c>
      <c r="AC71" s="91">
        <v>0</v>
      </c>
      <c r="AD71" s="91">
        <v>0</v>
      </c>
      <c r="AE71" s="91">
        <v>3428</v>
      </c>
      <c r="AF71" s="91">
        <v>0</v>
      </c>
      <c r="AG71" s="91">
        <v>0</v>
      </c>
      <c r="AH71" s="91">
        <v>568650</v>
      </c>
      <c r="AI71" s="91">
        <v>0</v>
      </c>
      <c r="AJ71" s="91">
        <v>0</v>
      </c>
      <c r="AK71" s="91">
        <v>568650</v>
      </c>
      <c r="AL71" s="91">
        <v>0</v>
      </c>
    </row>
    <row r="72" spans="1:38" ht="46.5" hidden="1" x14ac:dyDescent="0.25">
      <c r="A72" s="89" t="s">
        <v>532</v>
      </c>
      <c r="B72" s="90" t="s">
        <v>602</v>
      </c>
      <c r="C72" s="90">
        <v>1656576</v>
      </c>
      <c r="D72" s="90" t="str">
        <f>VLOOKUP(C72,'do průběžek'!$A$2:$D$246,2,FALSE)</f>
        <v>Obecně prospěšná společnost</v>
      </c>
      <c r="E72" s="90" t="str">
        <f>VLOOKUP(C72,'do průběžek'!$A$2:$D$246,3,FALSE)</f>
        <v>§44 - Odlehčovací služby</v>
      </c>
      <c r="F72" s="90" t="str">
        <f>VLOOKUP(C72,'do průběžek'!$A$2:$D$246,4,FALSE)</f>
        <v>terénní</v>
      </c>
      <c r="G72" s="90">
        <f>VLOOKUP(C72,'do průběžek'!$H$2:$J$246,2,FALSE)</f>
        <v>2.8</v>
      </c>
      <c r="H72" s="90">
        <f>VLOOKUP(C72,'do průběžek'!$H$2:$J$246,3,FALSE)</f>
        <v>0</v>
      </c>
      <c r="I72" s="91">
        <v>3018300</v>
      </c>
      <c r="J72" s="91">
        <v>1605619</v>
      </c>
      <c r="K72" s="91">
        <v>1387661</v>
      </c>
      <c r="L72" s="91">
        <v>1100000</v>
      </c>
      <c r="M72" s="91">
        <v>0</v>
      </c>
      <c r="N72" s="91">
        <v>72000</v>
      </c>
      <c r="O72" s="91">
        <v>0</v>
      </c>
      <c r="P72" s="91">
        <v>0</v>
      </c>
      <c r="Q72" s="91">
        <v>0</v>
      </c>
      <c r="R72" s="91">
        <v>0</v>
      </c>
      <c r="S72" s="91">
        <v>215661</v>
      </c>
      <c r="T72" s="91">
        <v>0</v>
      </c>
      <c r="U72" s="91">
        <v>0</v>
      </c>
      <c r="V72" s="91">
        <v>0</v>
      </c>
      <c r="W72" s="91">
        <v>0</v>
      </c>
      <c r="X72" s="91">
        <v>0</v>
      </c>
      <c r="Y72" s="91">
        <v>217958</v>
      </c>
      <c r="Z72" s="91">
        <v>217958</v>
      </c>
      <c r="AA72" s="91">
        <v>0</v>
      </c>
      <c r="AB72" s="91">
        <v>0</v>
      </c>
      <c r="AC72" s="91">
        <v>0</v>
      </c>
      <c r="AD72" s="91">
        <v>0</v>
      </c>
      <c r="AE72" s="91">
        <v>0</v>
      </c>
      <c r="AF72" s="91">
        <v>0</v>
      </c>
      <c r="AG72" s="91">
        <v>0</v>
      </c>
      <c r="AH72" s="91">
        <v>181797</v>
      </c>
      <c r="AI72" s="91">
        <v>16554</v>
      </c>
      <c r="AJ72" s="91">
        <v>0</v>
      </c>
      <c r="AK72" s="91">
        <v>165243</v>
      </c>
      <c r="AL72" s="91">
        <v>0</v>
      </c>
    </row>
    <row r="73" spans="1:38" ht="46.5" hidden="1" x14ac:dyDescent="0.25">
      <c r="A73" s="89" t="s">
        <v>532</v>
      </c>
      <c r="B73" s="90" t="s">
        <v>603</v>
      </c>
      <c r="C73" s="90">
        <v>2164863</v>
      </c>
      <c r="D73" s="90" t="str">
        <f>VLOOKUP(C73,'do průběžek'!$A$2:$D$246,2,FALSE)</f>
        <v>Obecně prospěšná společnost</v>
      </c>
      <c r="E73" s="90" t="str">
        <f>VLOOKUP(C73,'do průběžek'!$A$2:$D$246,3,FALSE)</f>
        <v>§44 - Odlehčovací služby</v>
      </c>
      <c r="F73" s="90" t="str">
        <f>VLOOKUP(C73,'do průběžek'!$A$2:$D$246,4,FALSE)</f>
        <v>terénní</v>
      </c>
      <c r="G73" s="90">
        <f>VLOOKUP(C73,'do průběžek'!$H$2:$J$246,2,FALSE)</f>
        <v>1.7</v>
      </c>
      <c r="H73" s="90">
        <f>VLOOKUP(C73,'do průběžek'!$H$2:$J$246,3,FALSE)</f>
        <v>0</v>
      </c>
      <c r="I73" s="91">
        <v>1848475</v>
      </c>
      <c r="J73" s="91">
        <v>844356</v>
      </c>
      <c r="K73" s="91">
        <v>741286</v>
      </c>
      <c r="L73" s="91">
        <v>644000</v>
      </c>
      <c r="M73" s="91">
        <v>0</v>
      </c>
      <c r="N73" s="91">
        <v>44000</v>
      </c>
      <c r="O73" s="91">
        <v>0</v>
      </c>
      <c r="P73" s="91">
        <v>0</v>
      </c>
      <c r="Q73" s="91">
        <v>0</v>
      </c>
      <c r="R73" s="91">
        <v>0</v>
      </c>
      <c r="S73" s="91">
        <v>53286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103070</v>
      </c>
      <c r="Z73" s="91">
        <v>103070</v>
      </c>
      <c r="AA73" s="91">
        <v>0</v>
      </c>
      <c r="AB73" s="91">
        <v>0</v>
      </c>
      <c r="AC73" s="91">
        <v>0</v>
      </c>
      <c r="AD73" s="91">
        <v>0</v>
      </c>
      <c r="AE73" s="91">
        <v>0</v>
      </c>
      <c r="AF73" s="91">
        <v>0</v>
      </c>
      <c r="AG73" s="91">
        <v>0</v>
      </c>
      <c r="AH73" s="91">
        <v>118405</v>
      </c>
      <c r="AI73" s="91">
        <v>13773</v>
      </c>
      <c r="AJ73" s="91">
        <v>0</v>
      </c>
      <c r="AK73" s="91">
        <v>104632</v>
      </c>
      <c r="AL73" s="91">
        <v>0</v>
      </c>
    </row>
    <row r="74" spans="1:38" ht="46.5" hidden="1" x14ac:dyDescent="0.25">
      <c r="A74" s="89" t="s">
        <v>532</v>
      </c>
      <c r="B74" s="90" t="s">
        <v>604</v>
      </c>
      <c r="C74" s="90">
        <v>5362299</v>
      </c>
      <c r="D74" s="90" t="str">
        <f>VLOOKUP(C74,'do průběžek'!$A$2:$D$246,2,FALSE)</f>
        <v>Obecně prospěšná společnost</v>
      </c>
      <c r="E74" s="90" t="str">
        <f>VLOOKUP(C74,'do průběžek'!$A$2:$D$246,3,FALSE)</f>
        <v>§44 - Odlehčovací služby</v>
      </c>
      <c r="F74" s="90" t="str">
        <f>VLOOKUP(C74,'do průběžek'!$A$2:$D$246,4,FALSE)</f>
        <v>terénní</v>
      </c>
      <c r="G74" s="90">
        <f>VLOOKUP(C74,'do průběžek'!$H$2:$J$246,2,FALSE)</f>
        <v>1.7</v>
      </c>
      <c r="H74" s="90">
        <f>VLOOKUP(C74,'do průběžek'!$H$2:$J$246,3,FALSE)</f>
        <v>0</v>
      </c>
      <c r="I74" s="91">
        <v>1844125</v>
      </c>
      <c r="J74" s="91">
        <v>877528</v>
      </c>
      <c r="K74" s="91">
        <v>810000</v>
      </c>
      <c r="L74" s="91">
        <v>620000</v>
      </c>
      <c r="M74" s="91">
        <v>0</v>
      </c>
      <c r="N74" s="91">
        <v>36000</v>
      </c>
      <c r="O74" s="91">
        <v>0</v>
      </c>
      <c r="P74" s="91">
        <v>0</v>
      </c>
      <c r="Q74" s="91">
        <v>0</v>
      </c>
      <c r="R74" s="91">
        <v>0</v>
      </c>
      <c r="S74" s="91">
        <v>154000</v>
      </c>
      <c r="T74" s="91">
        <v>0</v>
      </c>
      <c r="U74" s="91">
        <v>0</v>
      </c>
      <c r="V74" s="91">
        <v>0</v>
      </c>
      <c r="W74" s="91">
        <v>0</v>
      </c>
      <c r="X74" s="91">
        <v>0</v>
      </c>
      <c r="Y74" s="91">
        <v>67528</v>
      </c>
      <c r="Z74" s="91">
        <v>67528</v>
      </c>
      <c r="AA74" s="91">
        <v>0</v>
      </c>
      <c r="AB74" s="91">
        <v>0</v>
      </c>
      <c r="AC74" s="91">
        <v>0</v>
      </c>
      <c r="AD74" s="91">
        <v>0</v>
      </c>
      <c r="AE74" s="91">
        <v>0</v>
      </c>
      <c r="AF74" s="91">
        <v>0</v>
      </c>
      <c r="AG74" s="91">
        <v>0</v>
      </c>
      <c r="AH74" s="91">
        <v>122845</v>
      </c>
      <c r="AI74" s="91">
        <v>14467</v>
      </c>
      <c r="AJ74" s="91">
        <v>0</v>
      </c>
      <c r="AK74" s="91">
        <v>108378</v>
      </c>
      <c r="AL74" s="91">
        <v>0</v>
      </c>
    </row>
    <row r="75" spans="1:38" ht="46.5" hidden="1" x14ac:dyDescent="0.25">
      <c r="A75" s="89" t="s">
        <v>532</v>
      </c>
      <c r="B75" s="90" t="s">
        <v>605</v>
      </c>
      <c r="C75" s="90">
        <v>6806376</v>
      </c>
      <c r="D75" s="90" t="str">
        <f>VLOOKUP(C75,'do průběžek'!$A$2:$D$246,2,FALSE)</f>
        <v>Obecně prospěšná společnost</v>
      </c>
      <c r="E75" s="90" t="str">
        <f>VLOOKUP(C75,'do průběžek'!$A$2:$D$246,3,FALSE)</f>
        <v>§44 - Odlehčovací služby</v>
      </c>
      <c r="F75" s="90" t="str">
        <f>VLOOKUP(C75,'do průběžek'!$A$2:$D$246,4,FALSE)</f>
        <v>terénní</v>
      </c>
      <c r="G75" s="90">
        <f>VLOOKUP(C75,'do průběžek'!$H$2:$J$246,2,FALSE)</f>
        <v>1.7</v>
      </c>
      <c r="H75" s="90">
        <f>VLOOKUP(C75,'do průběžek'!$H$2:$J$246,3,FALSE)</f>
        <v>0</v>
      </c>
      <c r="I75" s="91">
        <v>1808740</v>
      </c>
      <c r="J75" s="91">
        <v>852505</v>
      </c>
      <c r="K75" s="91">
        <v>780000</v>
      </c>
      <c r="L75" s="91">
        <v>644000</v>
      </c>
      <c r="M75" s="91">
        <v>0</v>
      </c>
      <c r="N75" s="91">
        <v>36000</v>
      </c>
      <c r="O75" s="91">
        <v>0</v>
      </c>
      <c r="P75" s="91">
        <v>0</v>
      </c>
      <c r="Q75" s="91">
        <v>0</v>
      </c>
      <c r="R75" s="91">
        <v>0</v>
      </c>
      <c r="S75" s="91">
        <v>100000</v>
      </c>
      <c r="T75" s="91">
        <v>0</v>
      </c>
      <c r="U75" s="91">
        <v>0</v>
      </c>
      <c r="V75" s="91">
        <v>0</v>
      </c>
      <c r="W75" s="91">
        <v>0</v>
      </c>
      <c r="X75" s="91">
        <v>0</v>
      </c>
      <c r="Y75" s="91">
        <v>72505</v>
      </c>
      <c r="Z75" s="91">
        <v>72505</v>
      </c>
      <c r="AA75" s="91">
        <v>0</v>
      </c>
      <c r="AB75" s="91">
        <v>0</v>
      </c>
      <c r="AC75" s="91">
        <v>0</v>
      </c>
      <c r="AD75" s="91">
        <v>0</v>
      </c>
      <c r="AE75" s="91">
        <v>0</v>
      </c>
      <c r="AF75" s="91">
        <v>0</v>
      </c>
      <c r="AG75" s="91">
        <v>0</v>
      </c>
      <c r="AH75" s="91">
        <v>111423</v>
      </c>
      <c r="AI75" s="91">
        <v>9066</v>
      </c>
      <c r="AJ75" s="91">
        <v>0</v>
      </c>
      <c r="AK75" s="91">
        <v>102357</v>
      </c>
      <c r="AL75" s="91">
        <v>0</v>
      </c>
    </row>
    <row r="76" spans="1:38" ht="46.5" hidden="1" x14ac:dyDescent="0.25">
      <c r="A76" s="89" t="s">
        <v>532</v>
      </c>
      <c r="B76" s="90" t="s">
        <v>606</v>
      </c>
      <c r="C76" s="90">
        <v>1947710</v>
      </c>
      <c r="D76" s="90" t="str">
        <f>VLOOKUP(C76,'do průběžek'!$A$2:$D$246,2,FALSE)</f>
        <v>Příspěvková organizace zřízená územním samosprávným celkem</v>
      </c>
      <c r="E76" s="90" t="str">
        <f>VLOOKUP(C76,'do průběžek'!$A$2:$D$246,3,FALSE)</f>
        <v>§44 - Odlehčovací služby</v>
      </c>
      <c r="F76" s="90" t="str">
        <f>VLOOKUP(C76,'do průběžek'!$A$2:$D$246,4,FALSE)</f>
        <v>pobytová</v>
      </c>
      <c r="G76" s="90">
        <f>VLOOKUP(C76,'do průběžek'!$H$2:$J$246,2,FALSE)</f>
        <v>5.07</v>
      </c>
      <c r="H76" s="90">
        <f>VLOOKUP(C76,'do průběžek'!$H$2:$J$246,3,FALSE)</f>
        <v>4</v>
      </c>
      <c r="I76" s="91">
        <v>4564000</v>
      </c>
      <c r="J76" s="91">
        <v>4572712</v>
      </c>
      <c r="K76" s="91">
        <v>4273000</v>
      </c>
      <c r="L76" s="91">
        <v>893000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91">
        <v>0</v>
      </c>
      <c r="S76" s="91">
        <v>80000</v>
      </c>
      <c r="T76" s="91">
        <v>3300000</v>
      </c>
      <c r="U76" s="91">
        <v>0</v>
      </c>
      <c r="V76" s="91">
        <v>0</v>
      </c>
      <c r="W76" s="91">
        <v>0</v>
      </c>
      <c r="X76" s="91">
        <v>0</v>
      </c>
      <c r="Y76" s="91">
        <v>299712</v>
      </c>
      <c r="Z76" s="91">
        <v>291007</v>
      </c>
      <c r="AA76" s="91">
        <v>0</v>
      </c>
      <c r="AB76" s="91">
        <v>0</v>
      </c>
      <c r="AC76" s="91">
        <v>0</v>
      </c>
      <c r="AD76" s="91">
        <v>0</v>
      </c>
      <c r="AE76" s="91">
        <v>0</v>
      </c>
      <c r="AF76" s="91">
        <v>0</v>
      </c>
      <c r="AG76" s="91">
        <v>8705</v>
      </c>
      <c r="AH76" s="91">
        <v>422032</v>
      </c>
      <c r="AI76" s="91">
        <v>0</v>
      </c>
      <c r="AJ76" s="91">
        <v>0</v>
      </c>
      <c r="AK76" s="91">
        <v>422032</v>
      </c>
      <c r="AL76" s="91">
        <v>0</v>
      </c>
    </row>
    <row r="77" spans="1:38" ht="46.5" hidden="1" x14ac:dyDescent="0.25">
      <c r="A77" s="89" t="s">
        <v>532</v>
      </c>
      <c r="B77" s="90" t="s">
        <v>607</v>
      </c>
      <c r="C77" s="90">
        <v>7665554</v>
      </c>
      <c r="D77" s="90" t="str">
        <f>VLOOKUP(C77,'do průběžek'!$A$2:$D$246,2,FALSE)</f>
        <v>Příspěvková organizace zřízená územním samosprávným celkem</v>
      </c>
      <c r="E77" s="90" t="str">
        <f>VLOOKUP(C77,'do průběžek'!$A$2:$D$246,3,FALSE)</f>
        <v>§44 - Odlehčovací služby</v>
      </c>
      <c r="F77" s="90" t="str">
        <f>VLOOKUP(C77,'do průběžek'!$A$2:$D$246,4,FALSE)</f>
        <v>pobytová</v>
      </c>
      <c r="G77" s="90">
        <f>VLOOKUP(C77,'do průběžek'!$H$2:$J$246,2,FALSE)</f>
        <v>3.84</v>
      </c>
      <c r="H77" s="90">
        <f>VLOOKUP(C77,'do průběžek'!$H$2:$J$246,3,FALSE)</f>
        <v>10</v>
      </c>
      <c r="I77" s="91">
        <v>8709054.2699999996</v>
      </c>
      <c r="J77" s="91">
        <v>3445244.77</v>
      </c>
      <c r="K77" s="91">
        <v>2770000</v>
      </c>
      <c r="L77" s="91">
        <v>1110000</v>
      </c>
      <c r="M77" s="91">
        <v>0</v>
      </c>
      <c r="N77" s="91">
        <v>0</v>
      </c>
      <c r="O77" s="91">
        <v>0</v>
      </c>
      <c r="P77" s="91">
        <v>0</v>
      </c>
      <c r="Q77" s="91">
        <v>0</v>
      </c>
      <c r="R77" s="91">
        <v>0</v>
      </c>
      <c r="S77" s="91">
        <v>0</v>
      </c>
      <c r="T77" s="91">
        <v>1660000</v>
      </c>
      <c r="U77" s="91">
        <v>0</v>
      </c>
      <c r="V77" s="91">
        <v>0</v>
      </c>
      <c r="W77" s="91">
        <v>0</v>
      </c>
      <c r="X77" s="91">
        <v>0</v>
      </c>
      <c r="Y77" s="91">
        <v>675244.77</v>
      </c>
      <c r="Z77" s="91">
        <v>674326.87</v>
      </c>
      <c r="AA77" s="91">
        <v>0</v>
      </c>
      <c r="AB77" s="91">
        <v>0</v>
      </c>
      <c r="AC77" s="91">
        <v>0</v>
      </c>
      <c r="AD77" s="91">
        <v>0</v>
      </c>
      <c r="AE77" s="91">
        <v>0</v>
      </c>
      <c r="AF77" s="91">
        <v>0</v>
      </c>
      <c r="AG77" s="91">
        <v>917.9</v>
      </c>
      <c r="AH77" s="91">
        <v>687859</v>
      </c>
      <c r="AI77" s="91">
        <v>243038</v>
      </c>
      <c r="AJ77" s="91">
        <v>159800</v>
      </c>
      <c r="AK77" s="91">
        <v>285021</v>
      </c>
      <c r="AL77" s="91">
        <v>0</v>
      </c>
    </row>
    <row r="78" spans="1:38" ht="46.5" hidden="1" x14ac:dyDescent="0.25">
      <c r="A78" s="89" t="s">
        <v>532</v>
      </c>
      <c r="B78" s="90" t="s">
        <v>608</v>
      </c>
      <c r="C78" s="90">
        <v>4343228</v>
      </c>
      <c r="D78" s="90" t="str">
        <f>VLOOKUP(C78,'do průběžek'!$A$2:$D$246,2,FALSE)</f>
        <v>Obecně prospěšná společnost</v>
      </c>
      <c r="E78" s="90" t="str">
        <f>VLOOKUP(C78,'do průběžek'!$A$2:$D$246,3,FALSE)</f>
        <v>§44 - Odlehčovací služby</v>
      </c>
      <c r="F78" s="90" t="str">
        <f>VLOOKUP(C78,'do průběžek'!$A$2:$D$246,4,FALSE)</f>
        <v>terénní</v>
      </c>
      <c r="G78" s="90">
        <f>VLOOKUP(C78,'do průběžek'!$H$2:$J$246,2,FALSE)</f>
        <v>12.3</v>
      </c>
      <c r="H78" s="90">
        <f>VLOOKUP(C78,'do průběžek'!$H$2:$J$246,3,FALSE)</f>
        <v>0</v>
      </c>
      <c r="I78" s="91">
        <v>12472060</v>
      </c>
      <c r="J78" s="91">
        <v>5685000</v>
      </c>
      <c r="K78" s="91">
        <v>4885000</v>
      </c>
      <c r="L78" s="91">
        <v>4562000</v>
      </c>
      <c r="M78" s="91">
        <v>0</v>
      </c>
      <c r="N78" s="91">
        <v>263000</v>
      </c>
      <c r="O78" s="91">
        <v>0</v>
      </c>
      <c r="P78" s="91">
        <v>0</v>
      </c>
      <c r="Q78" s="91">
        <v>0</v>
      </c>
      <c r="R78" s="91">
        <v>0</v>
      </c>
      <c r="S78" s="91">
        <v>60000</v>
      </c>
      <c r="T78" s="91">
        <v>0</v>
      </c>
      <c r="U78" s="91">
        <v>0</v>
      </c>
      <c r="V78" s="91">
        <v>0</v>
      </c>
      <c r="W78" s="91">
        <v>0</v>
      </c>
      <c r="X78" s="91">
        <v>0</v>
      </c>
      <c r="Y78" s="91">
        <v>800000</v>
      </c>
      <c r="Z78" s="91">
        <v>700000</v>
      </c>
      <c r="AA78" s="91">
        <v>0</v>
      </c>
      <c r="AB78" s="91">
        <v>0</v>
      </c>
      <c r="AC78" s="91">
        <v>0</v>
      </c>
      <c r="AD78" s="91">
        <v>100000</v>
      </c>
      <c r="AE78" s="91">
        <v>0</v>
      </c>
      <c r="AF78" s="91">
        <v>0</v>
      </c>
      <c r="AG78" s="91">
        <v>0</v>
      </c>
      <c r="AH78" s="91">
        <v>835688</v>
      </c>
      <c r="AI78" s="91">
        <v>0</v>
      </c>
      <c r="AJ78" s="91">
        <v>0</v>
      </c>
      <c r="AK78" s="91">
        <v>835688</v>
      </c>
      <c r="AL78" s="91">
        <v>0</v>
      </c>
    </row>
    <row r="79" spans="1:38" ht="46.5" hidden="1" x14ac:dyDescent="0.25">
      <c r="A79" s="89" t="s">
        <v>532</v>
      </c>
      <c r="B79" s="90" t="s">
        <v>609</v>
      </c>
      <c r="C79" s="90">
        <v>9864940</v>
      </c>
      <c r="D79" s="90" t="str">
        <f>VLOOKUP(C79,'do průběžek'!$A$2:$D$246,2,FALSE)</f>
        <v>Ústav</v>
      </c>
      <c r="E79" s="90" t="str">
        <f>VLOOKUP(C79,'do průběžek'!$A$2:$D$246,3,FALSE)</f>
        <v>§44 - Odlehčovací služby</v>
      </c>
      <c r="F79" s="90" t="str">
        <f>VLOOKUP(C79,'do průběžek'!$A$2:$D$246,4,FALSE)</f>
        <v>pobytová</v>
      </c>
      <c r="G79" s="90">
        <f>VLOOKUP(C79,'do průběžek'!$H$2:$J$246,2,FALSE)</f>
        <v>0.38500000000000001</v>
      </c>
      <c r="H79" s="90">
        <f>VLOOKUP(C79,'do průběžek'!$H$2:$J$246,3,FALSE)</f>
        <v>4</v>
      </c>
      <c r="I79" s="91">
        <v>0</v>
      </c>
      <c r="J79" s="91">
        <v>0</v>
      </c>
      <c r="K79" s="91">
        <v>0</v>
      </c>
      <c r="L79" s="91">
        <v>0</v>
      </c>
      <c r="M79" s="91">
        <v>0</v>
      </c>
      <c r="N79" s="91">
        <v>0</v>
      </c>
      <c r="O79" s="91">
        <v>0</v>
      </c>
      <c r="P79" s="91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 s="91">
        <v>0</v>
      </c>
      <c r="W79" s="91">
        <v>0</v>
      </c>
      <c r="X79" s="91">
        <v>0</v>
      </c>
      <c r="Y79" s="91">
        <v>0</v>
      </c>
      <c r="Z79" s="91">
        <v>0</v>
      </c>
      <c r="AA79" s="91">
        <v>0</v>
      </c>
      <c r="AB79" s="91">
        <v>0</v>
      </c>
      <c r="AC79" s="91">
        <v>0</v>
      </c>
      <c r="AD79" s="91">
        <v>0</v>
      </c>
      <c r="AE79" s="91">
        <v>0</v>
      </c>
      <c r="AF79" s="91">
        <v>0</v>
      </c>
      <c r="AG79" s="91">
        <v>0</v>
      </c>
      <c r="AH79" s="91">
        <v>0</v>
      </c>
      <c r="AI79" s="91">
        <v>0</v>
      </c>
      <c r="AJ79" s="91">
        <v>0</v>
      </c>
      <c r="AK79" s="91">
        <v>0</v>
      </c>
      <c r="AL79" s="91">
        <v>0</v>
      </c>
    </row>
    <row r="80" spans="1:38" ht="46.5" hidden="1" x14ac:dyDescent="0.25">
      <c r="A80" s="89" t="s">
        <v>532</v>
      </c>
      <c r="B80" s="90" t="s">
        <v>610</v>
      </c>
      <c r="C80" s="90">
        <v>9321887</v>
      </c>
      <c r="D80" s="90" t="str">
        <f>VLOOKUP(C80,'do průběžek'!$A$2:$D$246,2,FALSE)</f>
        <v>Spolek</v>
      </c>
      <c r="E80" s="90" t="str">
        <f>VLOOKUP(C80,'do průběžek'!$A$2:$D$246,3,FALSE)</f>
        <v>§44 - Odlehčovací služby</v>
      </c>
      <c r="F80" s="90" t="str">
        <f>VLOOKUP(C80,'do průběžek'!$A$2:$D$246,4,FALSE)</f>
        <v>pobytová</v>
      </c>
      <c r="G80" s="90">
        <f>VLOOKUP(C80,'do průběžek'!$H$2:$J$246,2,FALSE)</f>
        <v>4</v>
      </c>
      <c r="H80" s="90">
        <f>VLOOKUP(C80,'do průběžek'!$H$2:$J$246,3,FALSE)</f>
        <v>6</v>
      </c>
      <c r="I80" s="91">
        <v>5704433</v>
      </c>
      <c r="J80" s="91">
        <v>2432990</v>
      </c>
      <c r="K80" s="91">
        <v>2320000</v>
      </c>
      <c r="L80" s="91">
        <v>2250000</v>
      </c>
      <c r="M80" s="91">
        <v>0</v>
      </c>
      <c r="N80" s="91">
        <v>0</v>
      </c>
      <c r="O80" s="91">
        <v>0</v>
      </c>
      <c r="P80" s="91">
        <v>0</v>
      </c>
      <c r="Q80" s="91">
        <v>0</v>
      </c>
      <c r="R80" s="91">
        <v>0</v>
      </c>
      <c r="S80" s="91">
        <v>70000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112990</v>
      </c>
      <c r="Z80" s="91">
        <v>112990</v>
      </c>
      <c r="AA80" s="91">
        <v>0</v>
      </c>
      <c r="AB80" s="91">
        <v>0</v>
      </c>
      <c r="AC80" s="91">
        <v>0</v>
      </c>
      <c r="AD80" s="91">
        <v>0</v>
      </c>
      <c r="AE80" s="91">
        <v>0</v>
      </c>
      <c r="AF80" s="91">
        <v>0</v>
      </c>
      <c r="AG80" s="91">
        <v>0</v>
      </c>
      <c r="AH80" s="91">
        <v>224444</v>
      </c>
      <c r="AI80" s="91">
        <v>0</v>
      </c>
      <c r="AJ80" s="91">
        <v>0</v>
      </c>
      <c r="AK80" s="91">
        <v>224444</v>
      </c>
      <c r="AL80" s="91">
        <v>0</v>
      </c>
    </row>
    <row r="81" spans="1:38" ht="46.5" hidden="1" x14ac:dyDescent="0.25">
      <c r="A81" s="89" t="s">
        <v>532</v>
      </c>
      <c r="B81" s="90" t="s">
        <v>611</v>
      </c>
      <c r="C81" s="90">
        <v>3145588</v>
      </c>
      <c r="D81" s="90" t="str">
        <f>VLOOKUP(C81,'do průběžek'!$A$2:$D$246,2,FALSE)</f>
        <v>PO kraje</v>
      </c>
      <c r="E81" s="90" t="str">
        <f>VLOOKUP(C81,'do průběžek'!$A$2:$D$246,3,FALSE)</f>
        <v>§44 - Odlehčovací služby</v>
      </c>
      <c r="F81" s="90" t="str">
        <f>VLOOKUP(C81,'do průběžek'!$A$2:$D$246,4,FALSE)</f>
        <v>pobytová</v>
      </c>
      <c r="G81" s="90">
        <f>VLOOKUP(C81,'do průběžek'!$H$2:$J$246,2,FALSE)</f>
        <v>2.2999999999999998</v>
      </c>
      <c r="H81" s="90">
        <f>VLOOKUP(C81,'do průběžek'!$H$2:$J$246,3,FALSE)</f>
        <v>2</v>
      </c>
      <c r="I81" s="91">
        <v>1779000</v>
      </c>
      <c r="J81" s="91">
        <v>1835743.66</v>
      </c>
      <c r="K81" s="91">
        <v>1628315</v>
      </c>
      <c r="L81" s="91">
        <v>754000</v>
      </c>
      <c r="M81" s="91">
        <v>874315</v>
      </c>
      <c r="N81" s="91">
        <v>0</v>
      </c>
      <c r="O81" s="91">
        <v>0</v>
      </c>
      <c r="P81" s="91">
        <v>0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91">
        <v>0</v>
      </c>
      <c r="Y81" s="91">
        <v>207428.66</v>
      </c>
      <c r="Z81" s="91">
        <v>156765</v>
      </c>
      <c r="AA81" s="91">
        <v>0</v>
      </c>
      <c r="AB81" s="91">
        <v>41252.81</v>
      </c>
      <c r="AC81" s="91">
        <v>0</v>
      </c>
      <c r="AD81" s="91">
        <v>0</v>
      </c>
      <c r="AE81" s="91">
        <v>0</v>
      </c>
      <c r="AF81" s="91">
        <v>0</v>
      </c>
      <c r="AG81" s="91">
        <v>9410.85</v>
      </c>
      <c r="AH81" s="91">
        <v>176705</v>
      </c>
      <c r="AI81" s="91">
        <v>17716</v>
      </c>
      <c r="AJ81" s="91">
        <v>0</v>
      </c>
      <c r="AK81" s="91">
        <v>158989</v>
      </c>
      <c r="AL81" s="91">
        <v>0</v>
      </c>
    </row>
    <row r="82" spans="1:38" ht="46.5" hidden="1" x14ac:dyDescent="0.25">
      <c r="A82" s="89" t="s">
        <v>532</v>
      </c>
      <c r="B82" s="90" t="s">
        <v>612</v>
      </c>
      <c r="C82" s="90">
        <v>2446668</v>
      </c>
      <c r="D82" s="90" t="str">
        <f>VLOOKUP(C82,'do průběžek'!$A$2:$D$246,2,FALSE)</f>
        <v>Příspěvková organizace zřízená územním samosprávným celkem</v>
      </c>
      <c r="E82" s="90" t="str">
        <f>VLOOKUP(C82,'do průběžek'!$A$2:$D$246,3,FALSE)</f>
        <v>§44 - Odlehčovací služby</v>
      </c>
      <c r="F82" s="90" t="str">
        <f>VLOOKUP(C82,'do průběžek'!$A$2:$D$246,4,FALSE)</f>
        <v>pobytová</v>
      </c>
      <c r="G82" s="90">
        <f>VLOOKUP(C82,'do průběžek'!$H$2:$J$246,2,FALSE)</f>
        <v>0.63</v>
      </c>
      <c r="H82" s="90">
        <f>VLOOKUP(C82,'do průběžek'!$H$2:$J$246,3,FALSE)</f>
        <v>3</v>
      </c>
      <c r="I82" s="91">
        <v>2762216</v>
      </c>
      <c r="J82" s="91">
        <v>127136</v>
      </c>
      <c r="K82" s="91">
        <v>79011</v>
      </c>
      <c r="L82" s="91">
        <v>0</v>
      </c>
      <c r="M82" s="91">
        <v>0</v>
      </c>
      <c r="N82" s="91">
        <v>0</v>
      </c>
      <c r="O82" s="91">
        <v>0</v>
      </c>
      <c r="P82" s="91">
        <v>0</v>
      </c>
      <c r="Q82" s="91">
        <v>0</v>
      </c>
      <c r="R82" s="91">
        <v>0</v>
      </c>
      <c r="S82" s="91">
        <v>0</v>
      </c>
      <c r="T82" s="91">
        <v>79011</v>
      </c>
      <c r="U82" s="91">
        <v>0</v>
      </c>
      <c r="V82" s="91">
        <v>0</v>
      </c>
      <c r="W82" s="91">
        <v>0</v>
      </c>
      <c r="X82" s="91">
        <v>0</v>
      </c>
      <c r="Y82" s="91">
        <v>48125</v>
      </c>
      <c r="Z82" s="91">
        <v>31350</v>
      </c>
      <c r="AA82" s="91">
        <v>12853</v>
      </c>
      <c r="AB82" s="91">
        <v>0</v>
      </c>
      <c r="AC82" s="91">
        <v>0</v>
      </c>
      <c r="AD82" s="91">
        <v>0</v>
      </c>
      <c r="AE82" s="91">
        <v>0</v>
      </c>
      <c r="AF82" s="91">
        <v>0</v>
      </c>
      <c r="AG82" s="91">
        <v>3922</v>
      </c>
      <c r="AH82" s="91">
        <v>0</v>
      </c>
      <c r="AI82" s="91">
        <v>0</v>
      </c>
      <c r="AJ82" s="91">
        <v>0</v>
      </c>
      <c r="AK82" s="91">
        <v>0</v>
      </c>
      <c r="AL82" s="91">
        <v>0</v>
      </c>
    </row>
    <row r="83" spans="1:38" ht="46.5" hidden="1" x14ac:dyDescent="0.25">
      <c r="A83" s="89" t="s">
        <v>532</v>
      </c>
      <c r="B83" s="90" t="s">
        <v>613</v>
      </c>
      <c r="C83" s="90">
        <v>5968921</v>
      </c>
      <c r="D83" s="90" t="str">
        <f>VLOOKUP(C83,'do průběžek'!$A$2:$D$246,2,FALSE)</f>
        <v>Obecně prospěšná společnost</v>
      </c>
      <c r="E83" s="90" t="str">
        <f>VLOOKUP(C83,'do průběžek'!$A$2:$D$246,3,FALSE)</f>
        <v>§44 - Odlehčovací služby</v>
      </c>
      <c r="F83" s="90" t="str">
        <f>VLOOKUP(C83,'do průběžek'!$A$2:$D$246,4,FALSE)</f>
        <v>ambulantní a terénní</v>
      </c>
      <c r="G83" s="90">
        <f>VLOOKUP(C83,'do průběžek'!$H$2:$J$246,2,FALSE)</f>
        <v>2</v>
      </c>
      <c r="H83" s="90">
        <f>VLOOKUP(C83,'do průběžek'!$H$2:$J$246,3,FALSE)</f>
        <v>0</v>
      </c>
      <c r="I83" s="91">
        <v>1794400</v>
      </c>
      <c r="J83" s="91">
        <v>956068</v>
      </c>
      <c r="K83" s="91">
        <v>861010</v>
      </c>
      <c r="L83" s="91">
        <v>805000</v>
      </c>
      <c r="M83" s="91">
        <v>0</v>
      </c>
      <c r="N83" s="91">
        <v>43000</v>
      </c>
      <c r="O83" s="91">
        <v>0</v>
      </c>
      <c r="P83" s="91">
        <v>0</v>
      </c>
      <c r="Q83" s="91">
        <v>0</v>
      </c>
      <c r="R83" s="91">
        <v>0</v>
      </c>
      <c r="S83" s="91">
        <v>13010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95058</v>
      </c>
      <c r="Z83" s="91">
        <v>93687</v>
      </c>
      <c r="AA83" s="91">
        <v>0</v>
      </c>
      <c r="AB83" s="91">
        <v>0</v>
      </c>
      <c r="AC83" s="91">
        <v>0</v>
      </c>
      <c r="AD83" s="91">
        <v>1371</v>
      </c>
      <c r="AE83" s="91">
        <v>0</v>
      </c>
      <c r="AF83" s="91">
        <v>0</v>
      </c>
      <c r="AG83" s="91">
        <v>0</v>
      </c>
      <c r="AH83" s="91">
        <v>136952</v>
      </c>
      <c r="AI83" s="91">
        <v>1237</v>
      </c>
      <c r="AJ83" s="91">
        <v>390</v>
      </c>
      <c r="AK83" s="91">
        <v>135325</v>
      </c>
      <c r="AL83" s="91">
        <v>0</v>
      </c>
    </row>
    <row r="84" spans="1:38" ht="46.5" hidden="1" x14ac:dyDescent="0.25">
      <c r="A84" s="89" t="s">
        <v>532</v>
      </c>
      <c r="B84" s="90" t="s">
        <v>614</v>
      </c>
      <c r="C84" s="90">
        <v>3368051</v>
      </c>
      <c r="D84" s="90" t="str">
        <f>VLOOKUP(C84,'do průběžek'!$A$2:$D$246,2,FALSE)</f>
        <v>Příspěvková organizace zřízená územním samosprávným celkem</v>
      </c>
      <c r="E84" s="90" t="str">
        <f>VLOOKUP(C84,'do průběžek'!$A$2:$D$246,3,FALSE)</f>
        <v>§44 - Odlehčovací služby</v>
      </c>
      <c r="F84" s="90" t="str">
        <f>VLOOKUP(C84,'do průběžek'!$A$2:$D$246,4,FALSE)</f>
        <v>pobytová</v>
      </c>
      <c r="G84" s="90">
        <f>VLOOKUP(C84,'do průběžek'!$H$2:$J$246,2,FALSE)</f>
        <v>3.4</v>
      </c>
      <c r="H84" s="90">
        <f>VLOOKUP(C84,'do průběžek'!$H$2:$J$246,3,FALSE)</f>
        <v>5</v>
      </c>
      <c r="I84" s="91">
        <v>4463694</v>
      </c>
      <c r="J84" s="91">
        <v>1979995.67</v>
      </c>
      <c r="K84" s="91">
        <v>1651000</v>
      </c>
      <c r="L84" s="91">
        <v>892000</v>
      </c>
      <c r="M84" s="91">
        <v>0</v>
      </c>
      <c r="N84" s="91">
        <v>0</v>
      </c>
      <c r="O84" s="91">
        <v>0</v>
      </c>
      <c r="P84" s="91">
        <v>0</v>
      </c>
      <c r="Q84" s="91">
        <v>0</v>
      </c>
      <c r="R84" s="91">
        <v>0</v>
      </c>
      <c r="S84" s="91">
        <v>0</v>
      </c>
      <c r="T84" s="91">
        <v>759000</v>
      </c>
      <c r="U84" s="91">
        <v>0</v>
      </c>
      <c r="V84" s="91">
        <v>0</v>
      </c>
      <c r="W84" s="91">
        <v>0</v>
      </c>
      <c r="X84" s="91">
        <v>0</v>
      </c>
      <c r="Y84" s="91">
        <v>328995.67</v>
      </c>
      <c r="Z84" s="91">
        <v>263708</v>
      </c>
      <c r="AA84" s="91">
        <v>0</v>
      </c>
      <c r="AB84" s="91">
        <v>0</v>
      </c>
      <c r="AC84" s="91">
        <v>0</v>
      </c>
      <c r="AD84" s="91">
        <v>3372.45</v>
      </c>
      <c r="AE84" s="91">
        <v>0</v>
      </c>
      <c r="AF84" s="91">
        <v>0</v>
      </c>
      <c r="AG84" s="91">
        <v>61915.22</v>
      </c>
      <c r="AH84" s="91">
        <v>266844</v>
      </c>
      <c r="AI84" s="91">
        <v>40979</v>
      </c>
      <c r="AJ84" s="91">
        <v>0</v>
      </c>
      <c r="AK84" s="91">
        <v>225865</v>
      </c>
      <c r="AL84" s="91">
        <v>0</v>
      </c>
    </row>
    <row r="85" spans="1:38" ht="46.5" hidden="1" x14ac:dyDescent="0.25">
      <c r="A85" s="89" t="s">
        <v>532</v>
      </c>
      <c r="B85" s="90" t="s">
        <v>615</v>
      </c>
      <c r="C85" s="90">
        <v>3190180</v>
      </c>
      <c r="D85" s="90" t="str">
        <f>VLOOKUP(C85,'do průběžek'!$A$2:$D$246,2,FALSE)</f>
        <v>PO kraje</v>
      </c>
      <c r="E85" s="90" t="str">
        <f>VLOOKUP(C85,'do průběžek'!$A$2:$D$246,3,FALSE)</f>
        <v>§45 - Centra denních služeb</v>
      </c>
      <c r="F85" s="90" t="str">
        <f>VLOOKUP(C85,'do průběžek'!$A$2:$D$246,4,FALSE)</f>
        <v>ambulantní</v>
      </c>
      <c r="G85" s="90">
        <f>VLOOKUP(C85,'do průběžek'!$H$2:$J$246,2,FALSE)</f>
        <v>5.9</v>
      </c>
      <c r="H85" s="90">
        <f>VLOOKUP(C85,'do průběžek'!$H$2:$J$246,3,FALSE)</f>
        <v>0</v>
      </c>
      <c r="I85" s="91">
        <v>6040899</v>
      </c>
      <c r="J85" s="91">
        <v>5171807</v>
      </c>
      <c r="K85" s="91">
        <v>4785415</v>
      </c>
      <c r="L85" s="91">
        <v>3051000</v>
      </c>
      <c r="M85" s="91">
        <v>1734415</v>
      </c>
      <c r="N85" s="91">
        <v>0</v>
      </c>
      <c r="O85" s="91">
        <v>0</v>
      </c>
      <c r="P85" s="91">
        <v>0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386392</v>
      </c>
      <c r="Z85" s="91">
        <v>358716</v>
      </c>
      <c r="AA85" s="91">
        <v>0</v>
      </c>
      <c r="AB85" s="91">
        <v>0</v>
      </c>
      <c r="AC85" s="91">
        <v>0</v>
      </c>
      <c r="AD85" s="91">
        <v>0</v>
      </c>
      <c r="AE85" s="91">
        <v>0</v>
      </c>
      <c r="AF85" s="91">
        <v>0</v>
      </c>
      <c r="AG85" s="91">
        <v>27676</v>
      </c>
      <c r="AH85" s="91">
        <v>898906</v>
      </c>
      <c r="AI85" s="91">
        <v>64754</v>
      </c>
      <c r="AJ85" s="91">
        <v>330831</v>
      </c>
      <c r="AK85" s="91">
        <v>503321</v>
      </c>
      <c r="AL85" s="91">
        <v>0</v>
      </c>
    </row>
    <row r="86" spans="1:38" ht="46.5" hidden="1" x14ac:dyDescent="0.25">
      <c r="A86" s="89" t="s">
        <v>532</v>
      </c>
      <c r="B86" s="90" t="s">
        <v>616</v>
      </c>
      <c r="C86" s="90">
        <v>9653966</v>
      </c>
      <c r="D86" s="90" t="str">
        <f>VLOOKUP(C86,'do průběžek'!$A$2:$D$246,2,FALSE)</f>
        <v>PO kraje</v>
      </c>
      <c r="E86" s="90" t="str">
        <f>VLOOKUP(C86,'do průběžek'!$A$2:$D$246,3,FALSE)</f>
        <v>§45 - Centra denních služeb</v>
      </c>
      <c r="F86" s="90" t="str">
        <f>VLOOKUP(C86,'do průběžek'!$A$2:$D$246,4,FALSE)</f>
        <v>ambulantní</v>
      </c>
      <c r="G86" s="90">
        <f>VLOOKUP(C86,'do průběžek'!$H$2:$J$246,2,FALSE)</f>
        <v>11.7</v>
      </c>
      <c r="H86" s="90">
        <f>VLOOKUP(C86,'do průběžek'!$H$2:$J$246,3,FALSE)</f>
        <v>0</v>
      </c>
      <c r="I86" s="91">
        <v>13701614</v>
      </c>
      <c r="J86" s="91">
        <v>8031743</v>
      </c>
      <c r="K86" s="91">
        <v>7459487</v>
      </c>
      <c r="L86" s="91">
        <v>5492000</v>
      </c>
      <c r="M86" s="91">
        <v>1967487</v>
      </c>
      <c r="N86" s="91">
        <v>0</v>
      </c>
      <c r="O86" s="91">
        <v>0</v>
      </c>
      <c r="P86" s="91">
        <v>0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 s="91">
        <v>0</v>
      </c>
      <c r="W86" s="91">
        <v>0</v>
      </c>
      <c r="X86" s="91">
        <v>0</v>
      </c>
      <c r="Y86" s="91">
        <v>572256</v>
      </c>
      <c r="Z86" s="91">
        <v>572256</v>
      </c>
      <c r="AA86" s="91">
        <v>0</v>
      </c>
      <c r="AB86" s="91">
        <v>0</v>
      </c>
      <c r="AC86" s="91">
        <v>0</v>
      </c>
      <c r="AD86" s="91">
        <v>0</v>
      </c>
      <c r="AE86" s="91">
        <v>0</v>
      </c>
      <c r="AF86" s="91">
        <v>0</v>
      </c>
      <c r="AG86" s="91">
        <v>0</v>
      </c>
      <c r="AH86" s="91">
        <v>1456518</v>
      </c>
      <c r="AI86" s="91">
        <v>200000</v>
      </c>
      <c r="AJ86" s="91">
        <v>420000</v>
      </c>
      <c r="AK86" s="91">
        <v>836518</v>
      </c>
      <c r="AL86" s="91">
        <v>0</v>
      </c>
    </row>
    <row r="87" spans="1:38" ht="46.5" hidden="1" x14ac:dyDescent="0.25">
      <c r="A87" s="89" t="s">
        <v>532</v>
      </c>
      <c r="B87" s="90" t="s">
        <v>617</v>
      </c>
      <c r="C87" s="90">
        <v>9314906</v>
      </c>
      <c r="D87" s="90" t="str">
        <f>VLOOKUP(C87,'do průběžek'!$A$2:$D$246,2,FALSE)</f>
        <v>Spolek</v>
      </c>
      <c r="E87" s="90" t="str">
        <f>VLOOKUP(C87,'do průběžek'!$A$2:$D$246,3,FALSE)</f>
        <v>§45 - Centra denních služeb</v>
      </c>
      <c r="F87" s="90" t="str">
        <f>VLOOKUP(C87,'do průběžek'!$A$2:$D$246,4,FALSE)</f>
        <v>ambulantní</v>
      </c>
      <c r="G87" s="90">
        <f>VLOOKUP(C87,'do průběžek'!$H$2:$J$246,2,FALSE)</f>
        <v>2.2999999999999998</v>
      </c>
      <c r="H87" s="90">
        <f>VLOOKUP(C87,'do průběžek'!$H$2:$J$246,3,FALSE)</f>
        <v>0</v>
      </c>
      <c r="I87" s="91">
        <v>2439734</v>
      </c>
      <c r="J87" s="91">
        <v>1592841</v>
      </c>
      <c r="K87" s="91">
        <v>1419931</v>
      </c>
      <c r="L87" s="91">
        <v>1360931</v>
      </c>
      <c r="M87" s="91">
        <v>0</v>
      </c>
      <c r="N87" s="91">
        <v>59000</v>
      </c>
      <c r="O87" s="91">
        <v>0</v>
      </c>
      <c r="P87" s="91">
        <v>0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172910</v>
      </c>
      <c r="Z87" s="91">
        <v>172910</v>
      </c>
      <c r="AA87" s="91">
        <v>0</v>
      </c>
      <c r="AB87" s="91">
        <v>0</v>
      </c>
      <c r="AC87" s="91">
        <v>0</v>
      </c>
      <c r="AD87" s="91">
        <v>0</v>
      </c>
      <c r="AE87" s="91">
        <v>0</v>
      </c>
      <c r="AF87" s="91">
        <v>0</v>
      </c>
      <c r="AG87" s="91">
        <v>0</v>
      </c>
      <c r="AH87" s="91">
        <v>139152</v>
      </c>
      <c r="AI87" s="91">
        <v>0</v>
      </c>
      <c r="AJ87" s="91">
        <v>0</v>
      </c>
      <c r="AK87" s="91">
        <v>139152</v>
      </c>
      <c r="AL87" s="91">
        <v>0</v>
      </c>
    </row>
    <row r="88" spans="1:38" ht="46.5" hidden="1" x14ac:dyDescent="0.25">
      <c r="A88" s="89" t="s">
        <v>532</v>
      </c>
      <c r="B88" s="90" t="s">
        <v>618</v>
      </c>
      <c r="C88" s="90">
        <v>9076392</v>
      </c>
      <c r="D88" s="90" t="str">
        <f>VLOOKUP(C88,'do průběžek'!$A$2:$D$246,2,FALSE)</f>
        <v>PO kraje</v>
      </c>
      <c r="E88" s="90" t="str">
        <f>VLOOKUP(C88,'do průběžek'!$A$2:$D$246,3,FALSE)</f>
        <v>§45 - Centra denních služeb</v>
      </c>
      <c r="F88" s="90" t="str">
        <f>VLOOKUP(C88,'do průběžek'!$A$2:$D$246,4,FALSE)</f>
        <v>ambulantní</v>
      </c>
      <c r="G88" s="90">
        <f>VLOOKUP(C88,'do průběžek'!$H$2:$J$246,2,FALSE)</f>
        <v>18.28</v>
      </c>
      <c r="H88" s="90">
        <f>VLOOKUP(C88,'do průběžek'!$H$2:$J$246,3,FALSE)</f>
        <v>0</v>
      </c>
      <c r="I88" s="91">
        <v>21235369</v>
      </c>
      <c r="J88" s="91">
        <v>12965777.109999999</v>
      </c>
      <c r="K88" s="91">
        <v>12491548</v>
      </c>
      <c r="L88" s="91">
        <v>7182000</v>
      </c>
      <c r="M88" s="91">
        <v>5309548</v>
      </c>
      <c r="N88" s="91">
        <v>0</v>
      </c>
      <c r="O88" s="91">
        <v>0</v>
      </c>
      <c r="P88" s="91">
        <v>0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 s="91">
        <v>0</v>
      </c>
      <c r="W88" s="91">
        <v>0</v>
      </c>
      <c r="X88" s="91">
        <v>0</v>
      </c>
      <c r="Y88" s="91">
        <v>474229.11</v>
      </c>
      <c r="Z88" s="91">
        <v>424345</v>
      </c>
      <c r="AA88" s="91">
        <v>0</v>
      </c>
      <c r="AB88" s="91">
        <v>0</v>
      </c>
      <c r="AC88" s="91">
        <v>0</v>
      </c>
      <c r="AD88" s="91">
        <v>17068.11</v>
      </c>
      <c r="AE88" s="91">
        <v>0</v>
      </c>
      <c r="AF88" s="91">
        <v>0</v>
      </c>
      <c r="AG88" s="91">
        <v>32816</v>
      </c>
      <c r="AH88" s="91">
        <v>1934774</v>
      </c>
      <c r="AI88" s="91">
        <v>96700</v>
      </c>
      <c r="AJ88" s="91">
        <v>552256</v>
      </c>
      <c r="AK88" s="91">
        <v>1285818</v>
      </c>
      <c r="AL88" s="91">
        <v>0</v>
      </c>
    </row>
    <row r="89" spans="1:38" ht="46.5" hidden="1" x14ac:dyDescent="0.25">
      <c r="A89" s="89" t="s">
        <v>532</v>
      </c>
      <c r="B89" s="90" t="s">
        <v>619</v>
      </c>
      <c r="C89" s="90">
        <v>5792926</v>
      </c>
      <c r="D89" s="90" t="str">
        <f>VLOOKUP(C89,'do průběžek'!$A$2:$D$246,2,FALSE)</f>
        <v>Spolek</v>
      </c>
      <c r="E89" s="90" t="str">
        <f>VLOOKUP(C89,'do průběžek'!$A$2:$D$246,3,FALSE)</f>
        <v>§45 - Centra denních služeb</v>
      </c>
      <c r="F89" s="90" t="str">
        <f>VLOOKUP(C89,'do průběžek'!$A$2:$D$246,4,FALSE)</f>
        <v>ambulantní</v>
      </c>
      <c r="G89" s="90">
        <f>VLOOKUP(C89,'do průběžek'!$H$2:$J$246,2,FALSE)</f>
        <v>2.0499999999999998</v>
      </c>
      <c r="H89" s="90">
        <f>VLOOKUP(C89,'do průběžek'!$H$2:$J$246,3,FALSE)</f>
        <v>0</v>
      </c>
      <c r="I89" s="91">
        <v>2389221.0099999998</v>
      </c>
      <c r="J89" s="91">
        <v>1087828</v>
      </c>
      <c r="K89" s="91">
        <v>1030564</v>
      </c>
      <c r="L89" s="91">
        <v>856000</v>
      </c>
      <c r="M89" s="91">
        <v>0</v>
      </c>
      <c r="N89" s="91">
        <v>0</v>
      </c>
      <c r="O89" s="91">
        <v>0</v>
      </c>
      <c r="P89" s="91">
        <v>0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114564</v>
      </c>
      <c r="W89" s="91">
        <v>60000</v>
      </c>
      <c r="X89" s="91">
        <v>0</v>
      </c>
      <c r="Y89" s="91">
        <v>57264</v>
      </c>
      <c r="Z89" s="91">
        <v>57264</v>
      </c>
      <c r="AA89" s="91">
        <v>0</v>
      </c>
      <c r="AB89" s="91">
        <v>0</v>
      </c>
      <c r="AC89" s="91">
        <v>0</v>
      </c>
      <c r="AD89" s="91">
        <v>0</v>
      </c>
      <c r="AE89" s="91">
        <v>0</v>
      </c>
      <c r="AF89" s="91">
        <v>0</v>
      </c>
      <c r="AG89" s="91">
        <v>0</v>
      </c>
      <c r="AH89" s="91">
        <v>154540</v>
      </c>
      <c r="AI89" s="91">
        <v>0</v>
      </c>
      <c r="AJ89" s="91">
        <v>0</v>
      </c>
      <c r="AK89" s="91">
        <v>154540</v>
      </c>
      <c r="AL89" s="91">
        <v>0</v>
      </c>
    </row>
    <row r="90" spans="1:38" ht="46.5" hidden="1" x14ac:dyDescent="0.25">
      <c r="A90" s="89" t="s">
        <v>532</v>
      </c>
      <c r="B90" s="90" t="s">
        <v>620</v>
      </c>
      <c r="C90" s="90">
        <v>5091362</v>
      </c>
      <c r="D90" s="90" t="str">
        <f>VLOOKUP(C90,'do průběžek'!$A$2:$D$246,2,FALSE)</f>
        <v>Spolek</v>
      </c>
      <c r="E90" s="90" t="str">
        <f>VLOOKUP(C90,'do průběžek'!$A$2:$D$246,3,FALSE)</f>
        <v>§45 - Centra denních služeb</v>
      </c>
      <c r="F90" s="90" t="str">
        <f>VLOOKUP(C90,'do průběžek'!$A$2:$D$246,4,FALSE)</f>
        <v>ambulantní</v>
      </c>
      <c r="G90" s="90">
        <f>VLOOKUP(C90,'do průběžek'!$H$2:$J$246,2,FALSE)</f>
        <v>3.89</v>
      </c>
      <c r="H90" s="90">
        <f>VLOOKUP(C90,'do průběžek'!$H$2:$J$246,3,FALSE)</f>
        <v>0</v>
      </c>
      <c r="I90" s="91">
        <v>4433986</v>
      </c>
      <c r="J90" s="91">
        <v>1352030</v>
      </c>
      <c r="K90" s="91">
        <v>1157000</v>
      </c>
      <c r="L90" s="91">
        <v>1083000</v>
      </c>
      <c r="M90" s="91">
        <v>0</v>
      </c>
      <c r="N90" s="91">
        <v>0</v>
      </c>
      <c r="O90" s="91">
        <v>0</v>
      </c>
      <c r="P90" s="91">
        <v>0</v>
      </c>
      <c r="Q90" s="91">
        <v>0</v>
      </c>
      <c r="R90" s="91">
        <v>0</v>
      </c>
      <c r="S90" s="91">
        <v>74000</v>
      </c>
      <c r="T90" s="91">
        <v>0</v>
      </c>
      <c r="U90" s="91">
        <v>0</v>
      </c>
      <c r="V90" s="91">
        <v>0</v>
      </c>
      <c r="W90" s="91">
        <v>0</v>
      </c>
      <c r="X90" s="91">
        <v>0</v>
      </c>
      <c r="Y90" s="91">
        <v>195030</v>
      </c>
      <c r="Z90" s="91">
        <v>195030</v>
      </c>
      <c r="AA90" s="91">
        <v>0</v>
      </c>
      <c r="AB90" s="91">
        <v>0</v>
      </c>
      <c r="AC90" s="91">
        <v>0</v>
      </c>
      <c r="AD90" s="91">
        <v>0</v>
      </c>
      <c r="AE90" s="91">
        <v>0</v>
      </c>
      <c r="AF90" s="91">
        <v>0</v>
      </c>
      <c r="AG90" s="91">
        <v>0</v>
      </c>
      <c r="AH90" s="91">
        <v>218381</v>
      </c>
      <c r="AI90" s="91">
        <v>0</v>
      </c>
      <c r="AJ90" s="91">
        <v>0</v>
      </c>
      <c r="AK90" s="91">
        <v>218381</v>
      </c>
      <c r="AL90" s="91">
        <v>0</v>
      </c>
    </row>
    <row r="91" spans="1:38" ht="46.5" hidden="1" x14ac:dyDescent="0.25">
      <c r="A91" s="89" t="s">
        <v>532</v>
      </c>
      <c r="B91" s="90" t="s">
        <v>621</v>
      </c>
      <c r="C91" s="90">
        <v>9313088</v>
      </c>
      <c r="D91" s="90" t="str">
        <f>VLOOKUP(C91,'do průběžek'!$A$2:$D$246,2,FALSE)</f>
        <v>Příspěvková organizace zřízená územním samosprávným celkem</v>
      </c>
      <c r="E91" s="90" t="str">
        <f>VLOOKUP(C91,'do průběžek'!$A$2:$D$246,3,FALSE)</f>
        <v>§45 - Centra denních služeb</v>
      </c>
      <c r="F91" s="90" t="str">
        <f>VLOOKUP(C91,'do průběžek'!$A$2:$D$246,4,FALSE)</f>
        <v>ambulantní</v>
      </c>
      <c r="G91" s="90">
        <f>VLOOKUP(C91,'do průběžek'!$H$2:$J$246,2,FALSE)</f>
        <v>2.2000000000000002</v>
      </c>
      <c r="H91" s="90">
        <f>VLOOKUP(C91,'do průběžek'!$H$2:$J$246,3,FALSE)</f>
        <v>0</v>
      </c>
      <c r="I91" s="91">
        <v>2488064</v>
      </c>
      <c r="J91" s="91">
        <v>1374637.12</v>
      </c>
      <c r="K91" s="91">
        <v>1246000</v>
      </c>
      <c r="L91" s="91">
        <v>715000</v>
      </c>
      <c r="M91" s="91">
        <v>0</v>
      </c>
      <c r="N91" s="91">
        <v>0</v>
      </c>
      <c r="O91" s="91">
        <v>0</v>
      </c>
      <c r="P91" s="91">
        <v>0</v>
      </c>
      <c r="Q91" s="91">
        <v>0</v>
      </c>
      <c r="R91" s="91">
        <v>0</v>
      </c>
      <c r="S91" s="91">
        <v>0</v>
      </c>
      <c r="T91" s="91">
        <v>531000</v>
      </c>
      <c r="U91" s="91">
        <v>0</v>
      </c>
      <c r="V91" s="91">
        <v>0</v>
      </c>
      <c r="W91" s="91">
        <v>0</v>
      </c>
      <c r="X91" s="91">
        <v>0</v>
      </c>
      <c r="Y91" s="91">
        <v>128637.12</v>
      </c>
      <c r="Z91" s="91">
        <v>128340</v>
      </c>
      <c r="AA91" s="91">
        <v>0</v>
      </c>
      <c r="AB91" s="91">
        <v>0</v>
      </c>
      <c r="AC91" s="91">
        <v>0</v>
      </c>
      <c r="AD91" s="91">
        <v>297</v>
      </c>
      <c r="AE91" s="91">
        <v>0</v>
      </c>
      <c r="AF91" s="91">
        <v>0</v>
      </c>
      <c r="AG91" s="91">
        <v>0.12</v>
      </c>
      <c r="AH91" s="91">
        <v>135102</v>
      </c>
      <c r="AI91" s="91">
        <v>3044</v>
      </c>
      <c r="AJ91" s="91">
        <v>0</v>
      </c>
      <c r="AK91" s="91">
        <v>132058</v>
      </c>
      <c r="AL91" s="91">
        <v>0</v>
      </c>
    </row>
    <row r="92" spans="1:38" ht="46.5" hidden="1" x14ac:dyDescent="0.25">
      <c r="A92" s="89" t="s">
        <v>532</v>
      </c>
      <c r="B92" s="90" t="s">
        <v>622</v>
      </c>
      <c r="C92" s="90">
        <v>5293571</v>
      </c>
      <c r="D92" s="90" t="str">
        <f>VLOOKUP(C92,'do průběžek'!$A$2:$D$246,2,FALSE)</f>
        <v>Spolek</v>
      </c>
      <c r="E92" s="90" t="str">
        <f>VLOOKUP(C92,'do průběžek'!$A$2:$D$246,3,FALSE)</f>
        <v>§46 - Denní stacionáře</v>
      </c>
      <c r="F92" s="90" t="str">
        <f>VLOOKUP(C92,'do průběžek'!$A$2:$D$246,4,FALSE)</f>
        <v>ambulantní</v>
      </c>
      <c r="G92" s="90">
        <f>VLOOKUP(C92,'do průběžek'!$H$2:$J$246,2,FALSE)</f>
        <v>6.6</v>
      </c>
      <c r="H92" s="90">
        <f>VLOOKUP(C92,'do průběžek'!$H$2:$J$246,3,FALSE)</f>
        <v>0</v>
      </c>
      <c r="I92" s="91">
        <v>6901820</v>
      </c>
      <c r="J92" s="91">
        <v>3318337</v>
      </c>
      <c r="K92" s="91">
        <v>3135474</v>
      </c>
      <c r="L92" s="91">
        <v>2981000</v>
      </c>
      <c r="M92" s="91">
        <v>0</v>
      </c>
      <c r="N92" s="91">
        <v>0</v>
      </c>
      <c r="O92" s="91">
        <v>0</v>
      </c>
      <c r="P92" s="91">
        <v>0</v>
      </c>
      <c r="Q92" s="91">
        <v>0</v>
      </c>
      <c r="R92" s="91">
        <v>0</v>
      </c>
      <c r="S92" s="91">
        <v>154474</v>
      </c>
      <c r="T92" s="91">
        <v>0</v>
      </c>
      <c r="U92" s="91">
        <v>0</v>
      </c>
      <c r="V92" s="91">
        <v>0</v>
      </c>
      <c r="W92" s="91">
        <v>0</v>
      </c>
      <c r="X92" s="91">
        <v>0</v>
      </c>
      <c r="Y92" s="91">
        <v>182863</v>
      </c>
      <c r="Z92" s="91">
        <v>170863</v>
      </c>
      <c r="AA92" s="91">
        <v>0</v>
      </c>
      <c r="AB92" s="91">
        <v>0</v>
      </c>
      <c r="AC92" s="91">
        <v>0</v>
      </c>
      <c r="AD92" s="91">
        <v>12000</v>
      </c>
      <c r="AE92" s="91">
        <v>0</v>
      </c>
      <c r="AF92" s="91">
        <v>0</v>
      </c>
      <c r="AG92" s="91">
        <v>0</v>
      </c>
      <c r="AH92" s="91">
        <v>0</v>
      </c>
      <c r="AI92" s="91">
        <v>0</v>
      </c>
      <c r="AJ92" s="91">
        <v>0</v>
      </c>
      <c r="AK92" s="91">
        <v>0</v>
      </c>
      <c r="AL92" s="91">
        <v>0</v>
      </c>
    </row>
    <row r="93" spans="1:38" ht="46.5" hidden="1" x14ac:dyDescent="0.25">
      <c r="A93" s="89" t="s">
        <v>532</v>
      </c>
      <c r="B93" s="90" t="s">
        <v>623</v>
      </c>
      <c r="C93" s="90">
        <v>2293541</v>
      </c>
      <c r="D93" s="90" t="str">
        <f>VLOOKUP(C93,'do průběžek'!$A$2:$D$246,2,FALSE)</f>
        <v>PO kraje</v>
      </c>
      <c r="E93" s="90" t="str">
        <f>VLOOKUP(C93,'do průběžek'!$A$2:$D$246,3,FALSE)</f>
        <v>§46 - Denní stacionáře</v>
      </c>
      <c r="F93" s="90" t="str">
        <f>VLOOKUP(C93,'do průběžek'!$A$2:$D$246,4,FALSE)</f>
        <v>ambulantní</v>
      </c>
      <c r="G93" s="90">
        <f>VLOOKUP(C93,'do průběžek'!$H$2:$J$246,2,FALSE)</f>
        <v>12.7</v>
      </c>
      <c r="H93" s="90">
        <f>VLOOKUP(C93,'do průběžek'!$H$2:$J$246,3,FALSE)</f>
        <v>0</v>
      </c>
      <c r="I93" s="91">
        <v>12445646</v>
      </c>
      <c r="J93" s="91">
        <v>9493067.6600000001</v>
      </c>
      <c r="K93" s="91">
        <v>8589157</v>
      </c>
      <c r="L93" s="91">
        <v>6620822</v>
      </c>
      <c r="M93" s="91">
        <v>1903335</v>
      </c>
      <c r="N93" s="91">
        <v>0</v>
      </c>
      <c r="O93" s="91">
        <v>0</v>
      </c>
      <c r="P93" s="91">
        <v>0</v>
      </c>
      <c r="Q93" s="91">
        <v>0</v>
      </c>
      <c r="R93" s="91">
        <v>0</v>
      </c>
      <c r="S93" s="91">
        <v>65000</v>
      </c>
      <c r="T93" s="91">
        <v>0</v>
      </c>
      <c r="U93" s="91">
        <v>0</v>
      </c>
      <c r="V93" s="91">
        <v>0</v>
      </c>
      <c r="W93" s="91">
        <v>0</v>
      </c>
      <c r="X93" s="91">
        <v>0</v>
      </c>
      <c r="Y93" s="91">
        <v>903910.66</v>
      </c>
      <c r="Z93" s="91">
        <v>805078</v>
      </c>
      <c r="AA93" s="91">
        <v>0</v>
      </c>
      <c r="AB93" s="91">
        <v>0</v>
      </c>
      <c r="AC93" s="91">
        <v>0</v>
      </c>
      <c r="AD93" s="91">
        <v>52500</v>
      </c>
      <c r="AE93" s="91">
        <v>46221</v>
      </c>
      <c r="AF93" s="91">
        <v>0</v>
      </c>
      <c r="AG93" s="91">
        <v>111.66</v>
      </c>
      <c r="AH93" s="91">
        <v>1247625</v>
      </c>
      <c r="AI93" s="91">
        <v>120800</v>
      </c>
      <c r="AJ93" s="91">
        <v>208181</v>
      </c>
      <c r="AK93" s="91">
        <v>918644</v>
      </c>
      <c r="AL93" s="91">
        <v>0</v>
      </c>
    </row>
    <row r="94" spans="1:38" ht="46.5" hidden="1" x14ac:dyDescent="0.25">
      <c r="A94" s="89" t="s">
        <v>532</v>
      </c>
      <c r="B94" s="90" t="s">
        <v>624</v>
      </c>
      <c r="C94" s="90">
        <v>3790182</v>
      </c>
      <c r="D94" s="90" t="str">
        <f>VLOOKUP(C94,'do průběžek'!$A$2:$D$246,2,FALSE)</f>
        <v>Příspěvková organizace zřízená územním samosprávným celkem</v>
      </c>
      <c r="E94" s="90" t="str">
        <f>VLOOKUP(C94,'do průběžek'!$A$2:$D$246,3,FALSE)</f>
        <v>§46 - Denní stacionáře</v>
      </c>
      <c r="F94" s="90" t="str">
        <f>VLOOKUP(C94,'do průběžek'!$A$2:$D$246,4,FALSE)</f>
        <v>ambulantní</v>
      </c>
      <c r="G94" s="90">
        <f>VLOOKUP(C94,'do průběžek'!$H$2:$J$246,2,FALSE)</f>
        <v>4.9000000000000004</v>
      </c>
      <c r="H94" s="90">
        <f>VLOOKUP(C94,'do průběžek'!$H$2:$J$246,3,FALSE)</f>
        <v>0</v>
      </c>
      <c r="I94" s="91">
        <v>5230052</v>
      </c>
      <c r="J94" s="91">
        <v>2595450</v>
      </c>
      <c r="K94" s="91">
        <v>2511000</v>
      </c>
      <c r="L94" s="91">
        <v>2468000</v>
      </c>
      <c r="M94" s="91">
        <v>0</v>
      </c>
      <c r="N94" s="91">
        <v>0</v>
      </c>
      <c r="O94" s="91">
        <v>0</v>
      </c>
      <c r="P94" s="91">
        <v>0</v>
      </c>
      <c r="Q94" s="91">
        <v>0</v>
      </c>
      <c r="R94" s="91">
        <v>0</v>
      </c>
      <c r="S94" s="91">
        <v>0</v>
      </c>
      <c r="T94" s="91">
        <v>43000</v>
      </c>
      <c r="U94" s="91">
        <v>0</v>
      </c>
      <c r="V94" s="91">
        <v>0</v>
      </c>
      <c r="W94" s="91">
        <v>0</v>
      </c>
      <c r="X94" s="91">
        <v>0</v>
      </c>
      <c r="Y94" s="91">
        <v>84450</v>
      </c>
      <c r="Z94" s="91">
        <v>84450</v>
      </c>
      <c r="AA94" s="91">
        <v>0</v>
      </c>
      <c r="AB94" s="91">
        <v>0</v>
      </c>
      <c r="AC94" s="91">
        <v>0</v>
      </c>
      <c r="AD94" s="91">
        <v>0</v>
      </c>
      <c r="AE94" s="91">
        <v>0</v>
      </c>
      <c r="AF94" s="91">
        <v>0</v>
      </c>
      <c r="AG94" s="91">
        <v>0</v>
      </c>
      <c r="AH94" s="91">
        <v>196117</v>
      </c>
      <c r="AI94" s="91">
        <v>67000</v>
      </c>
      <c r="AJ94" s="91">
        <v>0</v>
      </c>
      <c r="AK94" s="91">
        <v>129117</v>
      </c>
      <c r="AL94" s="91">
        <v>0</v>
      </c>
    </row>
    <row r="95" spans="1:38" ht="46.5" hidden="1" x14ac:dyDescent="0.25">
      <c r="A95" s="89" t="s">
        <v>532</v>
      </c>
      <c r="B95" s="90" t="s">
        <v>625</v>
      </c>
      <c r="C95" s="90">
        <v>4297455</v>
      </c>
      <c r="D95" s="90" t="str">
        <f>VLOOKUP(C95,'do průběžek'!$A$2:$D$246,2,FALSE)</f>
        <v>Příspěvková organizace zřízená územním samosprávným celkem</v>
      </c>
      <c r="E95" s="90" t="str">
        <f>VLOOKUP(C95,'do průběžek'!$A$2:$D$246,3,FALSE)</f>
        <v>§46 - Denní stacionáře</v>
      </c>
      <c r="F95" s="90" t="str">
        <f>VLOOKUP(C95,'do průběžek'!$A$2:$D$246,4,FALSE)</f>
        <v>ambulantní</v>
      </c>
      <c r="G95" s="90">
        <f>VLOOKUP(C95,'do průběžek'!$H$2:$J$246,2,FALSE)</f>
        <v>4.5</v>
      </c>
      <c r="H95" s="90">
        <f>VLOOKUP(C95,'do průběžek'!$H$2:$J$246,3,FALSE)</f>
        <v>0</v>
      </c>
      <c r="I95" s="91">
        <v>4525150</v>
      </c>
      <c r="J95" s="91">
        <v>4470680.25</v>
      </c>
      <c r="K95" s="91">
        <v>4096344</v>
      </c>
      <c r="L95" s="91">
        <v>2357000</v>
      </c>
      <c r="M95" s="91">
        <v>0</v>
      </c>
      <c r="N95" s="91">
        <v>0</v>
      </c>
      <c r="O95" s="91">
        <v>0</v>
      </c>
      <c r="P95" s="91">
        <v>0</v>
      </c>
      <c r="Q95" s="91">
        <v>0</v>
      </c>
      <c r="R95" s="91">
        <v>0</v>
      </c>
      <c r="S95" s="91">
        <v>0</v>
      </c>
      <c r="T95" s="91">
        <v>1739344</v>
      </c>
      <c r="U95" s="91">
        <v>0</v>
      </c>
      <c r="V95" s="91">
        <v>0</v>
      </c>
      <c r="W95" s="91">
        <v>0</v>
      </c>
      <c r="X95" s="91">
        <v>0</v>
      </c>
      <c r="Y95" s="91">
        <v>374336.25</v>
      </c>
      <c r="Z95" s="91">
        <v>101925</v>
      </c>
      <c r="AA95" s="91">
        <v>0</v>
      </c>
      <c r="AB95" s="91">
        <v>214061.25</v>
      </c>
      <c r="AC95" s="91">
        <v>0</v>
      </c>
      <c r="AD95" s="91">
        <v>4800</v>
      </c>
      <c r="AE95" s="91">
        <v>53550</v>
      </c>
      <c r="AF95" s="91">
        <v>0</v>
      </c>
      <c r="AG95" s="91">
        <v>0</v>
      </c>
      <c r="AH95" s="91">
        <v>347612</v>
      </c>
      <c r="AI95" s="91">
        <v>0</v>
      </c>
      <c r="AJ95" s="91">
        <v>0</v>
      </c>
      <c r="AK95" s="91">
        <v>347612</v>
      </c>
      <c r="AL95" s="91">
        <v>0</v>
      </c>
    </row>
    <row r="96" spans="1:38" ht="46.5" hidden="1" x14ac:dyDescent="0.25">
      <c r="A96" s="89" t="s">
        <v>532</v>
      </c>
      <c r="B96" s="90" t="s">
        <v>626</v>
      </c>
      <c r="C96" s="90">
        <v>2854766</v>
      </c>
      <c r="D96" s="90" t="str">
        <f>VLOOKUP(C96,'do průběžek'!$A$2:$D$246,2,FALSE)</f>
        <v>Příspěvková organizace zřízená územním samosprávným celkem</v>
      </c>
      <c r="E96" s="90" t="str">
        <f>VLOOKUP(C96,'do průběžek'!$A$2:$D$246,3,FALSE)</f>
        <v>§46 - Denní stacionáře</v>
      </c>
      <c r="F96" s="90" t="str">
        <f>VLOOKUP(C96,'do průběžek'!$A$2:$D$246,4,FALSE)</f>
        <v>ambulantní</v>
      </c>
      <c r="G96" s="90">
        <f>VLOOKUP(C96,'do průběžek'!$H$2:$J$246,2,FALSE)</f>
        <v>0.88</v>
      </c>
      <c r="H96" s="90">
        <f>VLOOKUP(C96,'do průběžek'!$H$2:$J$246,3,FALSE)</f>
        <v>0</v>
      </c>
      <c r="I96" s="91">
        <v>826785</v>
      </c>
      <c r="J96" s="91">
        <v>487590.58</v>
      </c>
      <c r="K96" s="91">
        <v>471000</v>
      </c>
      <c r="L96" s="91">
        <v>294000</v>
      </c>
      <c r="M96" s="91">
        <v>0</v>
      </c>
      <c r="N96" s="91">
        <v>0</v>
      </c>
      <c r="O96" s="91">
        <v>0</v>
      </c>
      <c r="P96" s="91">
        <v>0</v>
      </c>
      <c r="Q96" s="91">
        <v>0</v>
      </c>
      <c r="R96" s="91">
        <v>0</v>
      </c>
      <c r="S96" s="91">
        <v>0</v>
      </c>
      <c r="T96" s="91">
        <v>177000</v>
      </c>
      <c r="U96" s="91">
        <v>0</v>
      </c>
      <c r="V96" s="91">
        <v>0</v>
      </c>
      <c r="W96" s="91">
        <v>0</v>
      </c>
      <c r="X96" s="91">
        <v>0</v>
      </c>
      <c r="Y96" s="91">
        <v>16590.580000000002</v>
      </c>
      <c r="Z96" s="91">
        <v>16577</v>
      </c>
      <c r="AA96" s="91">
        <v>0</v>
      </c>
      <c r="AB96" s="91">
        <v>0</v>
      </c>
      <c r="AC96" s="91">
        <v>0</v>
      </c>
      <c r="AD96" s="91">
        <v>0</v>
      </c>
      <c r="AE96" s="91">
        <v>13.58</v>
      </c>
      <c r="AF96" s="91">
        <v>0</v>
      </c>
      <c r="AG96" s="91">
        <v>0</v>
      </c>
      <c r="AH96" s="91">
        <v>12310</v>
      </c>
      <c r="AI96" s="91">
        <v>0</v>
      </c>
      <c r="AJ96" s="91">
        <v>0</v>
      </c>
      <c r="AK96" s="91">
        <v>12310</v>
      </c>
      <c r="AL96" s="91">
        <v>0</v>
      </c>
    </row>
    <row r="97" spans="1:38" ht="46.5" hidden="1" x14ac:dyDescent="0.25">
      <c r="A97" s="89" t="s">
        <v>532</v>
      </c>
      <c r="B97" s="90" t="s">
        <v>627</v>
      </c>
      <c r="C97" s="90">
        <v>9603734</v>
      </c>
      <c r="D97" s="90" t="str">
        <f>VLOOKUP(C97,'do průběžek'!$A$2:$D$246,2,FALSE)</f>
        <v>Spolek</v>
      </c>
      <c r="E97" s="90" t="str">
        <f>VLOOKUP(C97,'do průběžek'!$A$2:$D$246,3,FALSE)</f>
        <v>§46 - Denní stacionáře</v>
      </c>
      <c r="F97" s="90" t="str">
        <f>VLOOKUP(C97,'do průběžek'!$A$2:$D$246,4,FALSE)</f>
        <v>ambulantní</v>
      </c>
      <c r="G97" s="90">
        <f>VLOOKUP(C97,'do průběžek'!$H$2:$J$246,2,FALSE)</f>
        <v>4.0199999999999996</v>
      </c>
      <c r="H97" s="90">
        <f>VLOOKUP(C97,'do průběžek'!$H$2:$J$246,3,FALSE)</f>
        <v>0</v>
      </c>
      <c r="I97" s="91">
        <v>3796267</v>
      </c>
      <c r="J97" s="91">
        <v>2404795</v>
      </c>
      <c r="K97" s="91">
        <v>2213500</v>
      </c>
      <c r="L97" s="91">
        <v>2112000</v>
      </c>
      <c r="M97" s="91">
        <v>0</v>
      </c>
      <c r="N97" s="91">
        <v>0</v>
      </c>
      <c r="O97" s="91">
        <v>0</v>
      </c>
      <c r="P97" s="91">
        <v>0</v>
      </c>
      <c r="Q97" s="91">
        <v>0</v>
      </c>
      <c r="R97" s="91">
        <v>0</v>
      </c>
      <c r="S97" s="91">
        <v>101500</v>
      </c>
      <c r="T97" s="91">
        <v>0</v>
      </c>
      <c r="U97" s="91">
        <v>0</v>
      </c>
      <c r="V97" s="91">
        <v>0</v>
      </c>
      <c r="W97" s="91">
        <v>0</v>
      </c>
      <c r="X97" s="91">
        <v>0</v>
      </c>
      <c r="Y97" s="91">
        <v>191295</v>
      </c>
      <c r="Z97" s="91">
        <v>191295</v>
      </c>
      <c r="AA97" s="91">
        <v>0</v>
      </c>
      <c r="AB97" s="91">
        <v>0</v>
      </c>
      <c r="AC97" s="91">
        <v>0</v>
      </c>
      <c r="AD97" s="91">
        <v>0</v>
      </c>
      <c r="AE97" s="91">
        <v>0</v>
      </c>
      <c r="AF97" s="91">
        <v>0</v>
      </c>
      <c r="AG97" s="91">
        <v>0</v>
      </c>
      <c r="AH97" s="91">
        <v>434980</v>
      </c>
      <c r="AI97" s="91">
        <v>0</v>
      </c>
      <c r="AJ97" s="91">
        <v>142000</v>
      </c>
      <c r="AK97" s="91">
        <v>280980</v>
      </c>
      <c r="AL97" s="91">
        <v>12000</v>
      </c>
    </row>
    <row r="98" spans="1:38" ht="46.5" hidden="1" x14ac:dyDescent="0.25">
      <c r="A98" s="89" t="s">
        <v>532</v>
      </c>
      <c r="B98" s="90" t="s">
        <v>628</v>
      </c>
      <c r="C98" s="90">
        <v>6266118</v>
      </c>
      <c r="D98" s="90" t="str">
        <f>VLOOKUP(C98,'do průběžek'!$A$2:$D$246,2,FALSE)</f>
        <v>PO kraje</v>
      </c>
      <c r="E98" s="90" t="str">
        <f>VLOOKUP(C98,'do průběžek'!$A$2:$D$246,3,FALSE)</f>
        <v>§46 - Denní stacionáře</v>
      </c>
      <c r="F98" s="90" t="str">
        <f>VLOOKUP(C98,'do průběžek'!$A$2:$D$246,4,FALSE)</f>
        <v>ambulantní</v>
      </c>
      <c r="G98" s="90">
        <f>VLOOKUP(C98,'do průběžek'!$H$2:$J$246,2,FALSE)</f>
        <v>3.31</v>
      </c>
      <c r="H98" s="90">
        <f>VLOOKUP(C98,'do průběžek'!$H$2:$J$246,3,FALSE)</f>
        <v>0</v>
      </c>
      <c r="I98" s="91">
        <v>3489566</v>
      </c>
      <c r="J98" s="91">
        <v>2346485.15</v>
      </c>
      <c r="K98" s="91">
        <v>2193089</v>
      </c>
      <c r="L98" s="91">
        <v>1569000</v>
      </c>
      <c r="M98" s="91">
        <v>624089</v>
      </c>
      <c r="N98" s="91">
        <v>0</v>
      </c>
      <c r="O98" s="91">
        <v>0</v>
      </c>
      <c r="P98" s="91">
        <v>0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v>0</v>
      </c>
      <c r="W98" s="91">
        <v>0</v>
      </c>
      <c r="X98" s="91">
        <v>0</v>
      </c>
      <c r="Y98" s="91">
        <v>153396.15</v>
      </c>
      <c r="Z98" s="91">
        <v>141894</v>
      </c>
      <c r="AA98" s="91">
        <v>0</v>
      </c>
      <c r="AB98" s="91">
        <v>0</v>
      </c>
      <c r="AC98" s="91">
        <v>0</v>
      </c>
      <c r="AD98" s="91">
        <v>0</v>
      </c>
      <c r="AE98" s="91">
        <v>0</v>
      </c>
      <c r="AF98" s="91">
        <v>0</v>
      </c>
      <c r="AG98" s="91">
        <v>11502.15</v>
      </c>
      <c r="AH98" s="91">
        <v>254949</v>
      </c>
      <c r="AI98" s="91">
        <v>23047</v>
      </c>
      <c r="AJ98" s="91">
        <v>0</v>
      </c>
      <c r="AK98" s="91">
        <v>231902</v>
      </c>
      <c r="AL98" s="91">
        <v>0</v>
      </c>
    </row>
    <row r="99" spans="1:38" ht="46.5" hidden="1" x14ac:dyDescent="0.25">
      <c r="A99" s="89" t="s">
        <v>532</v>
      </c>
      <c r="B99" s="90" t="s">
        <v>629</v>
      </c>
      <c r="C99" s="90">
        <v>1280179</v>
      </c>
      <c r="D99" s="90" t="str">
        <f>VLOOKUP(C99,'do průběžek'!$A$2:$D$246,2,FALSE)</f>
        <v>Příspěvková organizace zřízená územním samosprávným celkem</v>
      </c>
      <c r="E99" s="90" t="str">
        <f>VLOOKUP(C99,'do průběžek'!$A$2:$D$246,3,FALSE)</f>
        <v>§46 - Denní stacionáře</v>
      </c>
      <c r="F99" s="90" t="str">
        <f>VLOOKUP(C99,'do průběžek'!$A$2:$D$246,4,FALSE)</f>
        <v>ambulantní</v>
      </c>
      <c r="G99" s="90">
        <f>VLOOKUP(C99,'do průběžek'!$H$2:$J$246,2,FALSE)</f>
        <v>1.4</v>
      </c>
      <c r="H99" s="90">
        <f>VLOOKUP(C99,'do průběžek'!$H$2:$J$246,3,FALSE)</f>
        <v>0</v>
      </c>
      <c r="I99" s="91">
        <v>1462158</v>
      </c>
      <c r="J99" s="91">
        <v>1170308</v>
      </c>
      <c r="K99" s="91">
        <v>1125000</v>
      </c>
      <c r="L99" s="91">
        <v>225000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</v>
      </c>
      <c r="T99" s="91">
        <v>900000</v>
      </c>
      <c r="U99" s="91">
        <v>0</v>
      </c>
      <c r="V99" s="91">
        <v>0</v>
      </c>
      <c r="W99" s="91">
        <v>0</v>
      </c>
      <c r="X99" s="91">
        <v>0</v>
      </c>
      <c r="Y99" s="91">
        <v>45308</v>
      </c>
      <c r="Z99" s="91">
        <v>45208</v>
      </c>
      <c r="AA99" s="91">
        <v>0</v>
      </c>
      <c r="AB99" s="91">
        <v>0</v>
      </c>
      <c r="AC99" s="91">
        <v>0</v>
      </c>
      <c r="AD99" s="91">
        <v>0</v>
      </c>
      <c r="AE99" s="91">
        <v>100</v>
      </c>
      <c r="AF99" s="91">
        <v>0</v>
      </c>
      <c r="AG99" s="91">
        <v>0</v>
      </c>
      <c r="AH99" s="91">
        <v>97674</v>
      </c>
      <c r="AI99" s="91">
        <v>0</v>
      </c>
      <c r="AJ99" s="91">
        <v>0</v>
      </c>
      <c r="AK99" s="91">
        <v>97674</v>
      </c>
      <c r="AL99" s="91">
        <v>0</v>
      </c>
    </row>
    <row r="100" spans="1:38" ht="46.5" hidden="1" x14ac:dyDescent="0.25">
      <c r="A100" s="89" t="s">
        <v>532</v>
      </c>
      <c r="B100" s="90" t="s">
        <v>630</v>
      </c>
      <c r="C100" s="90">
        <v>5312119</v>
      </c>
      <c r="D100" s="90" t="str">
        <f>VLOOKUP(C100,'do průběžek'!$A$2:$D$246,2,FALSE)</f>
        <v>Příspěvková organizace zřízená územním samosprávným celkem</v>
      </c>
      <c r="E100" s="90" t="str">
        <f>VLOOKUP(C100,'do průběžek'!$A$2:$D$246,3,FALSE)</f>
        <v>§47 - Týdenní stacionáře</v>
      </c>
      <c r="F100" s="90" t="str">
        <f>VLOOKUP(C100,'do průběžek'!$A$2:$D$246,4,FALSE)</f>
        <v>pobytová</v>
      </c>
      <c r="G100" s="90">
        <f>VLOOKUP(C100,'do průběžek'!$H$2:$J$246,2,FALSE)</f>
        <v>5.05</v>
      </c>
      <c r="H100" s="90">
        <f>VLOOKUP(C100,'do průběžek'!$H$2:$J$246,3,FALSE)</f>
        <v>5</v>
      </c>
      <c r="I100" s="91">
        <v>3877407</v>
      </c>
      <c r="J100" s="91">
        <v>2281623</v>
      </c>
      <c r="K100" s="91">
        <v>1679000</v>
      </c>
      <c r="L100" s="91">
        <v>1636000</v>
      </c>
      <c r="M100" s="91">
        <v>0</v>
      </c>
      <c r="N100" s="91">
        <v>0</v>
      </c>
      <c r="O100" s="91">
        <v>0</v>
      </c>
      <c r="P100" s="91">
        <v>0</v>
      </c>
      <c r="Q100" s="91">
        <v>0</v>
      </c>
      <c r="R100" s="91">
        <v>0</v>
      </c>
      <c r="S100" s="91">
        <v>0</v>
      </c>
      <c r="T100" s="91">
        <v>43000</v>
      </c>
      <c r="U100" s="91">
        <v>0</v>
      </c>
      <c r="V100" s="91">
        <v>0</v>
      </c>
      <c r="W100" s="91">
        <v>0</v>
      </c>
      <c r="X100" s="91">
        <v>0</v>
      </c>
      <c r="Y100" s="91">
        <v>602623</v>
      </c>
      <c r="Z100" s="91">
        <v>57087</v>
      </c>
      <c r="AA100" s="91">
        <v>0</v>
      </c>
      <c r="AB100" s="91">
        <v>545536</v>
      </c>
      <c r="AC100" s="91">
        <v>0</v>
      </c>
      <c r="AD100" s="91">
        <v>0</v>
      </c>
      <c r="AE100" s="91">
        <v>0</v>
      </c>
      <c r="AF100" s="91">
        <v>0</v>
      </c>
      <c r="AG100" s="91">
        <v>0</v>
      </c>
      <c r="AH100" s="91">
        <v>348320</v>
      </c>
      <c r="AI100" s="91">
        <v>35000</v>
      </c>
      <c r="AJ100" s="91">
        <v>0</v>
      </c>
      <c r="AK100" s="91">
        <v>313320</v>
      </c>
      <c r="AL100" s="91">
        <v>0</v>
      </c>
    </row>
    <row r="101" spans="1:38" ht="46.5" hidden="1" x14ac:dyDescent="0.25">
      <c r="A101" s="89" t="s">
        <v>532</v>
      </c>
      <c r="B101" s="90" t="s">
        <v>631</v>
      </c>
      <c r="C101" s="90">
        <v>7007714</v>
      </c>
      <c r="D101" s="90" t="str">
        <f>VLOOKUP(C101,'do průběžek'!$A$2:$D$246,2,FALSE)</f>
        <v>PO kraje</v>
      </c>
      <c r="E101" s="90" t="str">
        <f>VLOOKUP(C101,'do průběžek'!$A$2:$D$246,3,FALSE)</f>
        <v>§47 - Týdenní stacionáře</v>
      </c>
      <c r="F101" s="90" t="str">
        <f>VLOOKUP(C101,'do průběžek'!$A$2:$D$246,4,FALSE)</f>
        <v>pobytová</v>
      </c>
      <c r="G101" s="90">
        <f>VLOOKUP(C101,'do průběžek'!$H$2:$J$246,2,FALSE)</f>
        <v>17.39</v>
      </c>
      <c r="H101" s="90">
        <f>VLOOKUP(C101,'do průběžek'!$H$2:$J$246,3,FALSE)</f>
        <v>29</v>
      </c>
      <c r="I101" s="91">
        <v>22301360</v>
      </c>
      <c r="J101" s="91">
        <v>15273986.960000001</v>
      </c>
      <c r="K101" s="91">
        <v>11970687</v>
      </c>
      <c r="L101" s="91">
        <v>10107171</v>
      </c>
      <c r="M101" s="91">
        <v>1863516</v>
      </c>
      <c r="N101" s="91">
        <v>0</v>
      </c>
      <c r="O101" s="91">
        <v>0</v>
      </c>
      <c r="P101" s="91">
        <v>0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 s="91">
        <v>0</v>
      </c>
      <c r="W101" s="91">
        <v>0</v>
      </c>
      <c r="X101" s="91">
        <v>0</v>
      </c>
      <c r="Y101" s="91">
        <v>3303299.96</v>
      </c>
      <c r="Z101" s="91">
        <v>2347103</v>
      </c>
      <c r="AA101" s="91">
        <v>0</v>
      </c>
      <c r="AB101" s="91">
        <v>872483.97</v>
      </c>
      <c r="AC101" s="91">
        <v>0</v>
      </c>
      <c r="AD101" s="91">
        <v>0</v>
      </c>
      <c r="AE101" s="91">
        <v>0</v>
      </c>
      <c r="AF101" s="91">
        <v>0</v>
      </c>
      <c r="AG101" s="91">
        <v>83712.990000000005</v>
      </c>
      <c r="AH101" s="91">
        <v>1475758</v>
      </c>
      <c r="AI101" s="91">
        <v>157480</v>
      </c>
      <c r="AJ101" s="91">
        <v>0</v>
      </c>
      <c r="AK101" s="91">
        <v>1318278</v>
      </c>
      <c r="AL101" s="91">
        <v>0</v>
      </c>
    </row>
    <row r="102" spans="1:38" ht="46.5" x14ac:dyDescent="0.25">
      <c r="A102" s="89" t="s">
        <v>532</v>
      </c>
      <c r="B102" s="90" t="s">
        <v>632</v>
      </c>
      <c r="C102" s="90">
        <v>4094333</v>
      </c>
      <c r="D102" s="90" t="str">
        <f>VLOOKUP(C102,'do průběžek'!$A$2:$D$246,2,FALSE)</f>
        <v>PO kraje</v>
      </c>
      <c r="E102" s="90" t="str">
        <f>VLOOKUP(C102,'do průběžek'!$A$2:$D$246,3,FALSE)</f>
        <v>§48 - Domovy pro osoby se zdravotním postižením</v>
      </c>
      <c r="F102" s="90" t="str">
        <f>VLOOKUP(C102,'do průběžek'!$A$2:$D$246,4,FALSE)</f>
        <v>pobytová</v>
      </c>
      <c r="G102" s="90">
        <f>VLOOKUP(C102,'do průběžek'!$H$2:$J$246,2,FALSE)</f>
        <v>32.6</v>
      </c>
      <c r="H102" s="90">
        <f>VLOOKUP(C102,'do průběžek'!$H$2:$J$246,3,FALSE)</f>
        <v>25</v>
      </c>
      <c r="I102" s="91">
        <v>21991970</v>
      </c>
      <c r="J102" s="91">
        <v>17626485</v>
      </c>
      <c r="K102" s="91">
        <v>14036351</v>
      </c>
      <c r="L102" s="91">
        <v>11710000</v>
      </c>
      <c r="M102" s="91">
        <v>2326351</v>
      </c>
      <c r="N102" s="91">
        <v>0</v>
      </c>
      <c r="O102" s="91">
        <v>0</v>
      </c>
      <c r="P102" s="91">
        <v>0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 s="91">
        <v>0</v>
      </c>
      <c r="W102" s="91">
        <v>0</v>
      </c>
      <c r="X102" s="91">
        <v>0</v>
      </c>
      <c r="Y102" s="91">
        <v>3590134</v>
      </c>
      <c r="Z102" s="91">
        <v>2979324</v>
      </c>
      <c r="AA102" s="91">
        <v>0</v>
      </c>
      <c r="AB102" s="91">
        <v>529685</v>
      </c>
      <c r="AC102" s="91">
        <v>0</v>
      </c>
      <c r="AD102" s="91">
        <v>1300</v>
      </c>
      <c r="AE102" s="91">
        <v>4000</v>
      </c>
      <c r="AF102" s="91">
        <v>0</v>
      </c>
      <c r="AG102" s="91">
        <v>75825</v>
      </c>
      <c r="AH102" s="91">
        <v>1976510</v>
      </c>
      <c r="AI102" s="91">
        <v>216785</v>
      </c>
      <c r="AJ102" s="91">
        <v>0</v>
      </c>
      <c r="AK102" s="91">
        <v>1759725</v>
      </c>
      <c r="AL102" s="91">
        <v>0</v>
      </c>
    </row>
    <row r="103" spans="1:38" ht="64.5" hidden="1" x14ac:dyDescent="0.25">
      <c r="A103" s="89" t="s">
        <v>633</v>
      </c>
      <c r="B103" s="90" t="s">
        <v>634</v>
      </c>
      <c r="C103" s="90">
        <v>6552817</v>
      </c>
      <c r="D103" s="90" t="str">
        <f>VLOOKUP(C103,'do průběžek'!$A$2:$D$246,2,FALSE)</f>
        <v>Ústav</v>
      </c>
      <c r="E103" s="90" t="str">
        <f>VLOOKUP(C103,'do průběžek'!$A$2:$D$246,3,FALSE)</f>
        <v>§37 - Odborné sociální poradenství</v>
      </c>
      <c r="F103" s="90" t="str">
        <f>VLOOKUP(C103,'do průběžek'!$A$2:$D$246,4,FALSE)</f>
        <v>ambulantní</v>
      </c>
      <c r="G103" s="90">
        <f>VLOOKUP(C103,'do průběžek'!$H$2:$J$246,2,FALSE)</f>
        <v>3.55</v>
      </c>
      <c r="H103" s="90">
        <f>VLOOKUP(C103,'do průběžek'!$H$2:$J$246,3,FALSE)</f>
        <v>0</v>
      </c>
      <c r="I103" s="91">
        <v>4116000</v>
      </c>
      <c r="J103" s="91">
        <v>3039704</v>
      </c>
      <c r="K103" s="91">
        <v>3039704</v>
      </c>
      <c r="L103" s="91">
        <v>1723000</v>
      </c>
      <c r="M103" s="91">
        <v>0</v>
      </c>
      <c r="N103" s="91">
        <v>726000</v>
      </c>
      <c r="O103" s="91">
        <v>0</v>
      </c>
      <c r="P103" s="91">
        <v>0</v>
      </c>
      <c r="Q103" s="91">
        <v>0</v>
      </c>
      <c r="R103" s="91">
        <v>0</v>
      </c>
      <c r="S103" s="91">
        <v>590704</v>
      </c>
      <c r="T103" s="91">
        <v>0</v>
      </c>
      <c r="U103" s="91">
        <v>0</v>
      </c>
      <c r="V103" s="91">
        <v>0</v>
      </c>
      <c r="W103" s="91">
        <v>0</v>
      </c>
      <c r="X103" s="91">
        <v>0</v>
      </c>
      <c r="Y103" s="91">
        <v>0</v>
      </c>
      <c r="Z103" s="91">
        <v>0</v>
      </c>
      <c r="AA103" s="91">
        <v>0</v>
      </c>
      <c r="AB103" s="91">
        <v>0</v>
      </c>
      <c r="AC103" s="91">
        <v>0</v>
      </c>
      <c r="AD103" s="91">
        <v>0</v>
      </c>
      <c r="AE103" s="91">
        <v>0</v>
      </c>
      <c r="AF103" s="91">
        <v>0</v>
      </c>
      <c r="AG103" s="91">
        <v>0</v>
      </c>
      <c r="AH103" s="91">
        <v>205249</v>
      </c>
      <c r="AI103" s="91">
        <v>0</v>
      </c>
      <c r="AJ103" s="91">
        <v>0</v>
      </c>
      <c r="AK103" s="91">
        <v>205249</v>
      </c>
      <c r="AL103" s="91">
        <v>0</v>
      </c>
    </row>
    <row r="104" spans="1:38" ht="64.5" hidden="1" x14ac:dyDescent="0.25">
      <c r="A104" s="89" t="s">
        <v>633</v>
      </c>
      <c r="B104" s="90" t="s">
        <v>635</v>
      </c>
      <c r="C104" s="90">
        <v>2632467</v>
      </c>
      <c r="D104" s="90" t="str">
        <f>VLOOKUP(C104,'do průběžek'!$A$2:$D$246,2,FALSE)</f>
        <v>PO kraje</v>
      </c>
      <c r="E104" s="90" t="str">
        <f>VLOOKUP(C104,'do průběžek'!$A$2:$D$246,3,FALSE)</f>
        <v>§37 - Odborné sociální poradenství</v>
      </c>
      <c r="F104" s="90" t="str">
        <f>VLOOKUP(C104,'do průběžek'!$A$2:$D$246,4,FALSE)</f>
        <v>ambulantní</v>
      </c>
      <c r="G104" s="90">
        <f>VLOOKUP(C104,'do průběžek'!$H$2:$J$246,2,FALSE)</f>
        <v>10.1</v>
      </c>
      <c r="H104" s="90">
        <f>VLOOKUP(C104,'do průběžek'!$H$2:$J$246,3,FALSE)</f>
        <v>0</v>
      </c>
      <c r="I104" s="91">
        <v>11071670</v>
      </c>
      <c r="J104" s="91">
        <v>7764668</v>
      </c>
      <c r="K104" s="91">
        <v>7659673</v>
      </c>
      <c r="L104" s="91">
        <v>5963000</v>
      </c>
      <c r="M104" s="91">
        <v>1696673</v>
      </c>
      <c r="N104" s="91">
        <v>0</v>
      </c>
      <c r="O104" s="91">
        <v>0</v>
      </c>
      <c r="P104" s="91">
        <v>0</v>
      </c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0</v>
      </c>
      <c r="X104" s="91">
        <v>0</v>
      </c>
      <c r="Y104" s="91">
        <v>104995</v>
      </c>
      <c r="Z104" s="91">
        <v>0</v>
      </c>
      <c r="AA104" s="91">
        <v>0</v>
      </c>
      <c r="AB104" s="91">
        <v>0</v>
      </c>
      <c r="AC104" s="91">
        <v>0</v>
      </c>
      <c r="AD104" s="91">
        <v>0</v>
      </c>
      <c r="AE104" s="91">
        <v>104995</v>
      </c>
      <c r="AF104" s="91">
        <v>0</v>
      </c>
      <c r="AG104" s="91">
        <v>0</v>
      </c>
      <c r="AH104" s="91">
        <v>337779</v>
      </c>
      <c r="AI104" s="91">
        <v>23242</v>
      </c>
      <c r="AJ104" s="91">
        <v>0</v>
      </c>
      <c r="AK104" s="91">
        <v>314537</v>
      </c>
      <c r="AL104" s="91">
        <v>0</v>
      </c>
    </row>
    <row r="105" spans="1:38" ht="64.5" hidden="1" x14ac:dyDescent="0.25">
      <c r="A105" s="89" t="s">
        <v>633</v>
      </c>
      <c r="B105" s="90" t="s">
        <v>636</v>
      </c>
      <c r="C105" s="90">
        <v>4337287</v>
      </c>
      <c r="D105" s="90" t="str">
        <f>VLOOKUP(C105,'do průběžek'!$A$2:$D$246,2,FALSE)</f>
        <v>PO kraje</v>
      </c>
      <c r="E105" s="90" t="str">
        <f>VLOOKUP(C105,'do průběžek'!$A$2:$D$246,3,FALSE)</f>
        <v>§37 - Odborné sociální poradenství</v>
      </c>
      <c r="F105" s="90" t="str">
        <f>VLOOKUP(C105,'do průběžek'!$A$2:$D$246,4,FALSE)</f>
        <v>ambulantní</v>
      </c>
      <c r="G105" s="90">
        <f>VLOOKUP(C105,'do průběžek'!$H$2:$J$246,2,FALSE)</f>
        <v>4.4000000000000004</v>
      </c>
      <c r="H105" s="90">
        <f>VLOOKUP(C105,'do průběžek'!$H$2:$J$246,3,FALSE)</f>
        <v>0</v>
      </c>
      <c r="I105" s="91">
        <v>4823302</v>
      </c>
      <c r="J105" s="91">
        <v>3530543</v>
      </c>
      <c r="K105" s="91">
        <v>3470543</v>
      </c>
      <c r="L105" s="91">
        <v>2682000</v>
      </c>
      <c r="M105" s="91">
        <v>788543</v>
      </c>
      <c r="N105" s="91">
        <v>0</v>
      </c>
      <c r="O105" s="91">
        <v>0</v>
      </c>
      <c r="P105" s="91">
        <v>0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60000</v>
      </c>
      <c r="Z105" s="91">
        <v>0</v>
      </c>
      <c r="AA105" s="91">
        <v>0</v>
      </c>
      <c r="AB105" s="91">
        <v>0</v>
      </c>
      <c r="AC105" s="91">
        <v>0</v>
      </c>
      <c r="AD105" s="91">
        <v>0</v>
      </c>
      <c r="AE105" s="91">
        <v>60000</v>
      </c>
      <c r="AF105" s="91">
        <v>0</v>
      </c>
      <c r="AG105" s="91">
        <v>0</v>
      </c>
      <c r="AH105" s="91">
        <v>137069</v>
      </c>
      <c r="AI105" s="91">
        <v>11551</v>
      </c>
      <c r="AJ105" s="91">
        <v>0</v>
      </c>
      <c r="AK105" s="91">
        <v>125518</v>
      </c>
      <c r="AL105" s="91">
        <v>0</v>
      </c>
    </row>
    <row r="106" spans="1:38" ht="64.5" hidden="1" x14ac:dyDescent="0.25">
      <c r="A106" s="89" t="s">
        <v>633</v>
      </c>
      <c r="B106" s="90" t="s">
        <v>637</v>
      </c>
      <c r="C106" s="90">
        <v>5833201</v>
      </c>
      <c r="D106" s="90" t="str">
        <f>VLOOKUP(C106,'do průběžek'!$A$2:$D$246,2,FALSE)</f>
        <v>PO kraje</v>
      </c>
      <c r="E106" s="90" t="str">
        <f>VLOOKUP(C106,'do průběžek'!$A$2:$D$246,3,FALSE)</f>
        <v>§37 - Odborné sociální poradenství</v>
      </c>
      <c r="F106" s="90" t="str">
        <f>VLOOKUP(C106,'do průběžek'!$A$2:$D$246,4,FALSE)</f>
        <v>ambulantní</v>
      </c>
      <c r="G106" s="90">
        <f>VLOOKUP(C106,'do průběžek'!$H$2:$J$246,2,FALSE)</f>
        <v>4.25</v>
      </c>
      <c r="H106" s="90">
        <f>VLOOKUP(C106,'do průběžek'!$H$2:$J$246,3,FALSE)</f>
        <v>0</v>
      </c>
      <c r="I106" s="91">
        <v>4658871</v>
      </c>
      <c r="J106" s="91">
        <v>3710969</v>
      </c>
      <c r="K106" s="91">
        <v>3670969</v>
      </c>
      <c r="L106" s="91">
        <v>2603000</v>
      </c>
      <c r="M106" s="91">
        <v>1067969</v>
      </c>
      <c r="N106" s="91">
        <v>0</v>
      </c>
      <c r="O106" s="91">
        <v>0</v>
      </c>
      <c r="P106" s="91">
        <v>0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91">
        <v>0</v>
      </c>
      <c r="W106" s="91">
        <v>0</v>
      </c>
      <c r="X106" s="91">
        <v>0</v>
      </c>
      <c r="Y106" s="91">
        <v>40000</v>
      </c>
      <c r="Z106" s="91">
        <v>0</v>
      </c>
      <c r="AA106" s="91">
        <v>0</v>
      </c>
      <c r="AB106" s="91">
        <v>0</v>
      </c>
      <c r="AC106" s="91">
        <v>0</v>
      </c>
      <c r="AD106" s="91">
        <v>0</v>
      </c>
      <c r="AE106" s="91">
        <v>40000</v>
      </c>
      <c r="AF106" s="91">
        <v>0</v>
      </c>
      <c r="AG106" s="91">
        <v>0</v>
      </c>
      <c r="AH106" s="91">
        <v>172977</v>
      </c>
      <c r="AI106" s="91">
        <v>12578</v>
      </c>
      <c r="AJ106" s="91">
        <v>0</v>
      </c>
      <c r="AK106" s="91">
        <v>160399</v>
      </c>
      <c r="AL106" s="91">
        <v>0</v>
      </c>
    </row>
    <row r="107" spans="1:38" ht="64.5" hidden="1" x14ac:dyDescent="0.25">
      <c r="A107" s="89" t="s">
        <v>633</v>
      </c>
      <c r="B107" s="90" t="s">
        <v>638</v>
      </c>
      <c r="C107" s="90">
        <v>1840164</v>
      </c>
      <c r="D107" s="90" t="str">
        <f>VLOOKUP(C107,'do průběžek'!$A$2:$D$246,2,FALSE)</f>
        <v>Obecně prospěšná společnost</v>
      </c>
      <c r="E107" s="90" t="str">
        <f>VLOOKUP(C107,'do průběžek'!$A$2:$D$246,3,FALSE)</f>
        <v>§37 - Odborné sociální poradenství</v>
      </c>
      <c r="F107" s="90" t="str">
        <f>VLOOKUP(C107,'do průběžek'!$A$2:$D$246,4,FALSE)</f>
        <v>ambulantní a terénní</v>
      </c>
      <c r="G107" s="90">
        <f>VLOOKUP(C107,'do průběžek'!$H$2:$J$246,2,FALSE)</f>
        <v>0.3</v>
      </c>
      <c r="H107" s="90">
        <f>VLOOKUP(C107,'do průběžek'!$H$2:$J$246,3,FALSE)</f>
        <v>0</v>
      </c>
      <c r="I107" s="91">
        <v>328861</v>
      </c>
      <c r="J107" s="91">
        <v>159604</v>
      </c>
      <c r="K107" s="91">
        <v>159604</v>
      </c>
      <c r="L107" s="91">
        <v>132000</v>
      </c>
      <c r="M107" s="91">
        <v>0</v>
      </c>
      <c r="N107" s="91">
        <v>0</v>
      </c>
      <c r="O107" s="91">
        <v>0</v>
      </c>
      <c r="P107" s="91">
        <v>0</v>
      </c>
      <c r="Q107" s="91">
        <v>0</v>
      </c>
      <c r="R107" s="91">
        <v>0</v>
      </c>
      <c r="S107" s="91">
        <v>27604</v>
      </c>
      <c r="T107" s="91">
        <v>0</v>
      </c>
      <c r="U107" s="91">
        <v>0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  <c r="AC107" s="91">
        <v>0</v>
      </c>
      <c r="AD107" s="91">
        <v>0</v>
      </c>
      <c r="AE107" s="91">
        <v>0</v>
      </c>
      <c r="AF107" s="91">
        <v>0</v>
      </c>
      <c r="AG107" s="91">
        <v>0</v>
      </c>
      <c r="AH107" s="91">
        <v>10035</v>
      </c>
      <c r="AI107" s="91">
        <v>0</v>
      </c>
      <c r="AJ107" s="91">
        <v>0</v>
      </c>
      <c r="AK107" s="91">
        <v>10035</v>
      </c>
      <c r="AL107" s="91">
        <v>0</v>
      </c>
    </row>
    <row r="108" spans="1:38" ht="64.5" hidden="1" x14ac:dyDescent="0.25">
      <c r="A108" s="89" t="s">
        <v>633</v>
      </c>
      <c r="B108" s="90" t="s">
        <v>639</v>
      </c>
      <c r="C108" s="90">
        <v>4148036</v>
      </c>
      <c r="D108" s="90" t="str">
        <f>VLOOKUP(C108,'do průběžek'!$A$2:$D$246,2,FALSE)</f>
        <v>Obecně prospěšná společnost</v>
      </c>
      <c r="E108" s="90" t="str">
        <f>VLOOKUP(C108,'do průběžek'!$A$2:$D$246,3,FALSE)</f>
        <v>§37 - Odborné sociální poradenství</v>
      </c>
      <c r="F108" s="90" t="str">
        <f>VLOOKUP(C108,'do průběžek'!$A$2:$D$246,4,FALSE)</f>
        <v>ambulantní a terénní</v>
      </c>
      <c r="G108" s="90">
        <f>VLOOKUP(C108,'do průběžek'!$H$2:$J$246,2,FALSE)</f>
        <v>0.2</v>
      </c>
      <c r="H108" s="90">
        <f>VLOOKUP(C108,'do průběžek'!$H$2:$J$246,3,FALSE)</f>
        <v>0</v>
      </c>
      <c r="I108" s="91">
        <v>219241</v>
      </c>
      <c r="J108" s="91">
        <v>88000</v>
      </c>
      <c r="K108" s="91">
        <v>88000</v>
      </c>
      <c r="L108" s="91">
        <v>88000</v>
      </c>
      <c r="M108" s="91">
        <v>0</v>
      </c>
      <c r="N108" s="91">
        <v>0</v>
      </c>
      <c r="O108" s="91">
        <v>0</v>
      </c>
      <c r="P108" s="91">
        <v>0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  <c r="AC108" s="91">
        <v>0</v>
      </c>
      <c r="AD108" s="91">
        <v>0</v>
      </c>
      <c r="AE108" s="91">
        <v>0</v>
      </c>
      <c r="AF108" s="91">
        <v>0</v>
      </c>
      <c r="AG108" s="91">
        <v>0</v>
      </c>
      <c r="AH108" s="91">
        <v>6690</v>
      </c>
      <c r="AI108" s="91">
        <v>0</v>
      </c>
      <c r="AJ108" s="91">
        <v>0</v>
      </c>
      <c r="AK108" s="91">
        <v>6690</v>
      </c>
      <c r="AL108" s="91">
        <v>0</v>
      </c>
    </row>
    <row r="109" spans="1:38" ht="64.5" hidden="1" x14ac:dyDescent="0.25">
      <c r="A109" s="89" t="s">
        <v>633</v>
      </c>
      <c r="B109" s="90" t="s">
        <v>640</v>
      </c>
      <c r="C109" s="90">
        <v>5451090</v>
      </c>
      <c r="D109" s="90" t="str">
        <f>VLOOKUP(C109,'do průběžek'!$A$2:$D$246,2,FALSE)</f>
        <v>Obecně prospěšná společnost</v>
      </c>
      <c r="E109" s="90" t="str">
        <f>VLOOKUP(C109,'do průběžek'!$A$2:$D$246,3,FALSE)</f>
        <v>§37 - Odborné sociální poradenství</v>
      </c>
      <c r="F109" s="90" t="str">
        <f>VLOOKUP(C109,'do průběžek'!$A$2:$D$246,4,FALSE)</f>
        <v>ambulantní a terénní</v>
      </c>
      <c r="G109" s="90">
        <f>VLOOKUP(C109,'do průběžek'!$H$2:$J$246,2,FALSE)</f>
        <v>0.2</v>
      </c>
      <c r="H109" s="90">
        <f>VLOOKUP(C109,'do průběžek'!$H$2:$J$246,3,FALSE)</f>
        <v>0</v>
      </c>
      <c r="I109" s="91">
        <v>219241</v>
      </c>
      <c r="J109" s="91">
        <v>113298</v>
      </c>
      <c r="K109" s="91">
        <v>113298</v>
      </c>
      <c r="L109" s="91">
        <v>88000</v>
      </c>
      <c r="M109" s="91">
        <v>0</v>
      </c>
      <c r="N109" s="91">
        <v>0</v>
      </c>
      <c r="O109" s="91">
        <v>0</v>
      </c>
      <c r="P109" s="91">
        <v>0</v>
      </c>
      <c r="Q109" s="91">
        <v>0</v>
      </c>
      <c r="R109" s="91">
        <v>0</v>
      </c>
      <c r="S109" s="91">
        <v>25298</v>
      </c>
      <c r="T109" s="91">
        <v>0</v>
      </c>
      <c r="U109" s="91">
        <v>0</v>
      </c>
      <c r="V109" s="91">
        <v>0</v>
      </c>
      <c r="W109" s="91">
        <v>0</v>
      </c>
      <c r="X109" s="91">
        <v>0</v>
      </c>
      <c r="Y109" s="91">
        <v>0</v>
      </c>
      <c r="Z109" s="91">
        <v>0</v>
      </c>
      <c r="AA109" s="91">
        <v>0</v>
      </c>
      <c r="AB109" s="91">
        <v>0</v>
      </c>
      <c r="AC109" s="91">
        <v>0</v>
      </c>
      <c r="AD109" s="91">
        <v>0</v>
      </c>
      <c r="AE109" s="91">
        <v>0</v>
      </c>
      <c r="AF109" s="91">
        <v>0</v>
      </c>
      <c r="AG109" s="91">
        <v>0</v>
      </c>
      <c r="AH109" s="91">
        <v>6690</v>
      </c>
      <c r="AI109" s="91">
        <v>0</v>
      </c>
      <c r="AJ109" s="91">
        <v>0</v>
      </c>
      <c r="AK109" s="91">
        <v>6690</v>
      </c>
      <c r="AL109" s="91">
        <v>0</v>
      </c>
    </row>
    <row r="110" spans="1:38" ht="64.5" hidden="1" x14ac:dyDescent="0.25">
      <c r="A110" s="89" t="s">
        <v>633</v>
      </c>
      <c r="B110" s="90" t="s">
        <v>641</v>
      </c>
      <c r="C110" s="90">
        <v>9725207</v>
      </c>
      <c r="D110" s="90" t="str">
        <f>VLOOKUP(C110,'do průběžek'!$A$2:$D$246,2,FALSE)</f>
        <v>Obecně prospěšná společnost</v>
      </c>
      <c r="E110" s="90" t="str">
        <f>VLOOKUP(C110,'do průběžek'!$A$2:$D$246,3,FALSE)</f>
        <v>§37 - Odborné sociální poradenství</v>
      </c>
      <c r="F110" s="90" t="str">
        <f>VLOOKUP(C110,'do průběžek'!$A$2:$D$246,4,FALSE)</f>
        <v>ambulantní a terénní</v>
      </c>
      <c r="G110" s="90">
        <f>VLOOKUP(C110,'do průběžek'!$H$2:$J$246,2,FALSE)</f>
        <v>0.2</v>
      </c>
      <c r="H110" s="90">
        <f>VLOOKUP(C110,'do průběžek'!$H$2:$J$246,3,FALSE)</f>
        <v>0</v>
      </c>
      <c r="I110" s="91">
        <v>219241</v>
      </c>
      <c r="J110" s="91">
        <v>106000</v>
      </c>
      <c r="K110" s="91">
        <v>106000</v>
      </c>
      <c r="L110" s="91">
        <v>88000</v>
      </c>
      <c r="M110" s="91">
        <v>0</v>
      </c>
      <c r="N110" s="91">
        <v>0</v>
      </c>
      <c r="O110" s="91">
        <v>0</v>
      </c>
      <c r="P110" s="91">
        <v>0</v>
      </c>
      <c r="Q110" s="91">
        <v>0</v>
      </c>
      <c r="R110" s="91">
        <v>0</v>
      </c>
      <c r="S110" s="91">
        <v>18000</v>
      </c>
      <c r="T110" s="91">
        <v>0</v>
      </c>
      <c r="U110" s="91">
        <v>0</v>
      </c>
      <c r="V110" s="91">
        <v>0</v>
      </c>
      <c r="W110" s="91">
        <v>0</v>
      </c>
      <c r="X110" s="91">
        <v>0</v>
      </c>
      <c r="Y110" s="91">
        <v>0</v>
      </c>
      <c r="Z110" s="91">
        <v>0</v>
      </c>
      <c r="AA110" s="91">
        <v>0</v>
      </c>
      <c r="AB110" s="91">
        <v>0</v>
      </c>
      <c r="AC110" s="91">
        <v>0</v>
      </c>
      <c r="AD110" s="91">
        <v>0</v>
      </c>
      <c r="AE110" s="91">
        <v>0</v>
      </c>
      <c r="AF110" s="91">
        <v>0</v>
      </c>
      <c r="AG110" s="91">
        <v>0</v>
      </c>
      <c r="AH110" s="91">
        <v>6690</v>
      </c>
      <c r="AI110" s="91">
        <v>0</v>
      </c>
      <c r="AJ110" s="91">
        <v>0</v>
      </c>
      <c r="AK110" s="91">
        <v>6690</v>
      </c>
      <c r="AL110" s="91">
        <v>0</v>
      </c>
    </row>
    <row r="111" spans="1:38" ht="64.5" hidden="1" x14ac:dyDescent="0.25">
      <c r="A111" s="89" t="s">
        <v>633</v>
      </c>
      <c r="B111" s="90" t="s">
        <v>642</v>
      </c>
      <c r="C111" s="90">
        <v>6719009</v>
      </c>
      <c r="D111" s="90" t="str">
        <f>VLOOKUP(C111,'do průběžek'!$A$2:$D$246,2,FALSE)</f>
        <v>Obecně prospěšná společnost</v>
      </c>
      <c r="E111" s="90" t="str">
        <f>VLOOKUP(C111,'do průběžek'!$A$2:$D$246,3,FALSE)</f>
        <v>§37 - Odborné sociální poradenství</v>
      </c>
      <c r="F111" s="90" t="str">
        <f>VLOOKUP(C111,'do průběžek'!$A$2:$D$246,4,FALSE)</f>
        <v>ambulantní</v>
      </c>
      <c r="G111" s="90">
        <f>VLOOKUP(C111,'do průběžek'!$H$2:$J$246,2,FALSE)</f>
        <v>3</v>
      </c>
      <c r="H111" s="90">
        <f>VLOOKUP(C111,'do průběžek'!$H$2:$J$246,3,FALSE)</f>
        <v>0</v>
      </c>
      <c r="I111" s="91">
        <v>3288615</v>
      </c>
      <c r="J111" s="91">
        <v>1355000</v>
      </c>
      <c r="K111" s="91">
        <v>1355000</v>
      </c>
      <c r="L111" s="91">
        <v>1271000</v>
      </c>
      <c r="M111" s="91">
        <v>0</v>
      </c>
      <c r="N111" s="91">
        <v>64000</v>
      </c>
      <c r="O111" s="91">
        <v>0</v>
      </c>
      <c r="P111" s="91">
        <v>0</v>
      </c>
      <c r="Q111" s="91">
        <v>0</v>
      </c>
      <c r="R111" s="91">
        <v>0</v>
      </c>
      <c r="S111" s="91">
        <v>20000</v>
      </c>
      <c r="T111" s="91">
        <v>0</v>
      </c>
      <c r="U111" s="91">
        <v>0</v>
      </c>
      <c r="V111" s="91">
        <v>0</v>
      </c>
      <c r="W111" s="91">
        <v>0</v>
      </c>
      <c r="X111" s="91">
        <v>0</v>
      </c>
      <c r="Y111" s="91">
        <v>0</v>
      </c>
      <c r="Z111" s="91">
        <v>0</v>
      </c>
      <c r="AA111" s="91">
        <v>0</v>
      </c>
      <c r="AB111" s="91">
        <v>0</v>
      </c>
      <c r="AC111" s="91">
        <v>0</v>
      </c>
      <c r="AD111" s="91">
        <v>0</v>
      </c>
      <c r="AE111" s="91">
        <v>0</v>
      </c>
      <c r="AF111" s="91">
        <v>0</v>
      </c>
      <c r="AG111" s="91">
        <v>0</v>
      </c>
      <c r="AH111" s="91">
        <v>0</v>
      </c>
      <c r="AI111" s="91">
        <v>0</v>
      </c>
      <c r="AJ111" s="91">
        <v>0</v>
      </c>
      <c r="AK111" s="91">
        <v>0</v>
      </c>
      <c r="AL111" s="91">
        <v>0</v>
      </c>
    </row>
    <row r="112" spans="1:38" ht="64.5" hidden="1" x14ac:dyDescent="0.25">
      <c r="A112" s="89" t="s">
        <v>633</v>
      </c>
      <c r="B112" s="90" t="s">
        <v>643</v>
      </c>
      <c r="C112" s="90">
        <v>9813481</v>
      </c>
      <c r="D112" s="90" t="str">
        <f>VLOOKUP(C112,'do průběžek'!$A$2:$D$246,2,FALSE)</f>
        <v>Spolek</v>
      </c>
      <c r="E112" s="90" t="str">
        <f>VLOOKUP(C112,'do průběžek'!$A$2:$D$246,3,FALSE)</f>
        <v>§37 - Odborné sociální poradenství</v>
      </c>
      <c r="F112" s="90" t="str">
        <f>VLOOKUP(C112,'do průběžek'!$A$2:$D$246,4,FALSE)</f>
        <v>ambulantní</v>
      </c>
      <c r="G112" s="90">
        <f>VLOOKUP(C112,'do průběžek'!$H$2:$J$246,2,FALSE)</f>
        <v>5.734</v>
      </c>
      <c r="H112" s="90">
        <f>VLOOKUP(C112,'do průběžek'!$H$2:$J$246,3,FALSE)</f>
        <v>0</v>
      </c>
      <c r="I112" s="91">
        <v>6285639</v>
      </c>
      <c r="J112" s="91">
        <v>2767948</v>
      </c>
      <c r="K112" s="91">
        <v>2759948</v>
      </c>
      <c r="L112" s="91">
        <v>2156000</v>
      </c>
      <c r="M112" s="91">
        <v>0</v>
      </c>
      <c r="N112" s="91">
        <v>123000</v>
      </c>
      <c r="O112" s="91">
        <v>0</v>
      </c>
      <c r="P112" s="91">
        <v>0</v>
      </c>
      <c r="Q112" s="91">
        <v>0</v>
      </c>
      <c r="R112" s="91">
        <v>0</v>
      </c>
      <c r="S112" s="91">
        <v>480948</v>
      </c>
      <c r="T112" s="91">
        <v>0</v>
      </c>
      <c r="U112" s="91">
        <v>0</v>
      </c>
      <c r="V112" s="91">
        <v>0</v>
      </c>
      <c r="W112" s="91">
        <v>0</v>
      </c>
      <c r="X112" s="91">
        <v>0</v>
      </c>
      <c r="Y112" s="91">
        <v>8000</v>
      </c>
      <c r="Z112" s="91">
        <v>0</v>
      </c>
      <c r="AA112" s="91">
        <v>0</v>
      </c>
      <c r="AB112" s="91">
        <v>0</v>
      </c>
      <c r="AC112" s="91">
        <v>0</v>
      </c>
      <c r="AD112" s="91">
        <v>0</v>
      </c>
      <c r="AE112" s="91">
        <v>0</v>
      </c>
      <c r="AF112" s="91">
        <v>0</v>
      </c>
      <c r="AG112" s="91">
        <v>8000</v>
      </c>
      <c r="AH112" s="91">
        <v>188616</v>
      </c>
      <c r="AI112" s="91">
        <v>7718</v>
      </c>
      <c r="AJ112" s="91">
        <v>0</v>
      </c>
      <c r="AK112" s="91">
        <v>180898</v>
      </c>
      <c r="AL112" s="91">
        <v>0</v>
      </c>
    </row>
    <row r="113" spans="1:38" ht="64.5" hidden="1" x14ac:dyDescent="0.25">
      <c r="A113" s="89" t="s">
        <v>633</v>
      </c>
      <c r="B113" s="90" t="s">
        <v>644</v>
      </c>
      <c r="C113" s="90">
        <v>9397048</v>
      </c>
      <c r="D113" s="90" t="str">
        <f>VLOOKUP(C113,'do průběžek'!$A$2:$D$246,2,FALSE)</f>
        <v>Pobočný spolek</v>
      </c>
      <c r="E113" s="90" t="str">
        <f>VLOOKUP(C113,'do průběžek'!$A$2:$D$246,3,FALSE)</f>
        <v>§37 - Odborné sociální poradenství</v>
      </c>
      <c r="F113" s="90" t="str">
        <f>VLOOKUP(C113,'do průběžek'!$A$2:$D$246,4,FALSE)</f>
        <v>ambulantní a terénní</v>
      </c>
      <c r="G113" s="90">
        <f>VLOOKUP(C113,'do průběžek'!$H$2:$J$246,2,FALSE)</f>
        <v>0.97</v>
      </c>
      <c r="H113" s="90">
        <f>VLOOKUP(C113,'do průběžek'!$H$2:$J$246,3,FALSE)</f>
        <v>0</v>
      </c>
      <c r="I113" s="91">
        <v>1269706</v>
      </c>
      <c r="J113" s="91">
        <v>1269706</v>
      </c>
      <c r="K113" s="91">
        <v>1269706</v>
      </c>
      <c r="L113" s="91">
        <v>1269706</v>
      </c>
      <c r="M113" s="91">
        <v>0</v>
      </c>
      <c r="N113" s="91">
        <v>0</v>
      </c>
      <c r="O113" s="91">
        <v>0</v>
      </c>
      <c r="P113" s="91">
        <v>0</v>
      </c>
      <c r="Q113" s="91">
        <v>0</v>
      </c>
      <c r="R113" s="91">
        <v>0</v>
      </c>
      <c r="S113" s="91">
        <v>0</v>
      </c>
      <c r="T113" s="91">
        <v>0</v>
      </c>
      <c r="U113" s="91">
        <v>0</v>
      </c>
      <c r="V113" s="91">
        <v>0</v>
      </c>
      <c r="W113" s="91">
        <v>0</v>
      </c>
      <c r="X113" s="91">
        <v>0</v>
      </c>
      <c r="Y113" s="91">
        <v>0</v>
      </c>
      <c r="Z113" s="91">
        <v>0</v>
      </c>
      <c r="AA113" s="91">
        <v>0</v>
      </c>
      <c r="AB113" s="91">
        <v>0</v>
      </c>
      <c r="AC113" s="91">
        <v>0</v>
      </c>
      <c r="AD113" s="91">
        <v>0</v>
      </c>
      <c r="AE113" s="91">
        <v>0</v>
      </c>
      <c r="AF113" s="91">
        <v>0</v>
      </c>
      <c r="AG113" s="91">
        <v>0</v>
      </c>
      <c r="AH113" s="91">
        <v>0</v>
      </c>
      <c r="AI113" s="91">
        <v>0</v>
      </c>
      <c r="AJ113" s="91">
        <v>0</v>
      </c>
      <c r="AK113" s="91">
        <v>0</v>
      </c>
      <c r="AL113" s="91">
        <v>0</v>
      </c>
    </row>
    <row r="114" spans="1:38" ht="64.5" hidden="1" x14ac:dyDescent="0.25">
      <c r="A114" s="89" t="s">
        <v>633</v>
      </c>
      <c r="B114" s="90" t="s">
        <v>645</v>
      </c>
      <c r="C114" s="90">
        <v>9543067</v>
      </c>
      <c r="D114" s="90" t="str">
        <f>VLOOKUP(C114,'do průběžek'!$A$2:$D$246,2,FALSE)</f>
        <v>Obecně prospěšná společnost</v>
      </c>
      <c r="E114" s="90" t="str">
        <f>VLOOKUP(C114,'do průběžek'!$A$2:$D$246,3,FALSE)</f>
        <v>§37 - Odborné sociální poradenství</v>
      </c>
      <c r="F114" s="90" t="str">
        <f>VLOOKUP(C114,'do průběžek'!$A$2:$D$246,4,FALSE)</f>
        <v>ambulantní a terénní</v>
      </c>
      <c r="G114" s="90">
        <f>VLOOKUP(C114,'do průběžek'!$H$2:$J$246,2,FALSE)</f>
        <v>2.75</v>
      </c>
      <c r="H114" s="90">
        <f>VLOOKUP(C114,'do průběžek'!$H$2:$J$246,3,FALSE)</f>
        <v>0</v>
      </c>
      <c r="I114" s="91">
        <v>3014564</v>
      </c>
      <c r="J114" s="91">
        <v>1582000</v>
      </c>
      <c r="K114" s="91">
        <v>1532000</v>
      </c>
      <c r="L114" s="91">
        <v>1465000</v>
      </c>
      <c r="M114" s="91">
        <v>0</v>
      </c>
      <c r="N114" s="91">
        <v>59000</v>
      </c>
      <c r="O114" s="91">
        <v>0</v>
      </c>
      <c r="P114" s="91">
        <v>0</v>
      </c>
      <c r="Q114" s="91">
        <v>0</v>
      </c>
      <c r="R114" s="91">
        <v>0</v>
      </c>
      <c r="S114" s="91">
        <v>8000</v>
      </c>
      <c r="T114" s="91">
        <v>0</v>
      </c>
      <c r="U114" s="91">
        <v>0</v>
      </c>
      <c r="V114" s="91">
        <v>0</v>
      </c>
      <c r="W114" s="91">
        <v>0</v>
      </c>
      <c r="X114" s="91">
        <v>0</v>
      </c>
      <c r="Y114" s="91">
        <v>50000</v>
      </c>
      <c r="Z114" s="91">
        <v>0</v>
      </c>
      <c r="AA114" s="91">
        <v>0</v>
      </c>
      <c r="AB114" s="91">
        <v>0</v>
      </c>
      <c r="AC114" s="91">
        <v>0</v>
      </c>
      <c r="AD114" s="91">
        <v>50000</v>
      </c>
      <c r="AE114" s="91">
        <v>0</v>
      </c>
      <c r="AF114" s="91">
        <v>0</v>
      </c>
      <c r="AG114" s="91">
        <v>0</v>
      </c>
      <c r="AH114" s="91">
        <v>118333</v>
      </c>
      <c r="AI114" s="91">
        <v>0</v>
      </c>
      <c r="AJ114" s="91">
        <v>0</v>
      </c>
      <c r="AK114" s="91">
        <v>118333</v>
      </c>
      <c r="AL114" s="91">
        <v>0</v>
      </c>
    </row>
    <row r="115" spans="1:38" ht="64.5" hidden="1" x14ac:dyDescent="0.25">
      <c r="A115" s="89" t="s">
        <v>633</v>
      </c>
      <c r="B115" s="90" t="s">
        <v>646</v>
      </c>
      <c r="C115" s="90">
        <v>2073130</v>
      </c>
      <c r="D115" s="90" t="str">
        <f>VLOOKUP(C115,'do průběžek'!$A$2:$D$246,2,FALSE)</f>
        <v>Ústav</v>
      </c>
      <c r="E115" s="90" t="str">
        <f>VLOOKUP(C115,'do průběžek'!$A$2:$D$246,3,FALSE)</f>
        <v>§37 - Odborné sociální poradenství</v>
      </c>
      <c r="F115" s="90" t="str">
        <f>VLOOKUP(C115,'do průběžek'!$A$2:$D$246,4,FALSE)</f>
        <v>ambulantní a terénní</v>
      </c>
      <c r="G115" s="90">
        <f>VLOOKUP(C115,'do průběžek'!$H$2:$J$246,2,FALSE)</f>
        <v>2</v>
      </c>
      <c r="H115" s="90">
        <f>VLOOKUP(C115,'do průběžek'!$H$2:$J$246,3,FALSE)</f>
        <v>0</v>
      </c>
      <c r="I115" s="91">
        <v>2192410</v>
      </c>
      <c r="J115" s="91">
        <v>1652800</v>
      </c>
      <c r="K115" s="91">
        <v>1652800</v>
      </c>
      <c r="L115" s="91">
        <v>846000</v>
      </c>
      <c r="M115" s="91">
        <v>0</v>
      </c>
      <c r="N115" s="91">
        <v>330000</v>
      </c>
      <c r="O115" s="91">
        <v>0</v>
      </c>
      <c r="P115" s="91">
        <v>0</v>
      </c>
      <c r="Q115" s="91">
        <v>0</v>
      </c>
      <c r="R115" s="91">
        <v>0</v>
      </c>
      <c r="S115" s="91">
        <v>75000</v>
      </c>
      <c r="T115" s="91">
        <v>0</v>
      </c>
      <c r="U115" s="91">
        <v>0</v>
      </c>
      <c r="V115" s="91">
        <v>0</v>
      </c>
      <c r="W115" s="91">
        <v>0</v>
      </c>
      <c r="X115" s="91">
        <v>401800</v>
      </c>
      <c r="Y115" s="91">
        <v>0</v>
      </c>
      <c r="Z115" s="91">
        <v>0</v>
      </c>
      <c r="AA115" s="91">
        <v>0</v>
      </c>
      <c r="AB115" s="91">
        <v>0</v>
      </c>
      <c r="AC115" s="91">
        <v>0</v>
      </c>
      <c r="AD115" s="91">
        <v>0</v>
      </c>
      <c r="AE115" s="91">
        <v>0</v>
      </c>
      <c r="AF115" s="91">
        <v>0</v>
      </c>
      <c r="AG115" s="91">
        <v>0</v>
      </c>
      <c r="AH115" s="91">
        <v>72131</v>
      </c>
      <c r="AI115" s="91">
        <v>11918</v>
      </c>
      <c r="AJ115" s="91">
        <v>0</v>
      </c>
      <c r="AK115" s="91">
        <v>60213</v>
      </c>
      <c r="AL115" s="91">
        <v>0</v>
      </c>
    </row>
    <row r="116" spans="1:38" ht="64.5" hidden="1" x14ac:dyDescent="0.25">
      <c r="A116" s="89" t="s">
        <v>633</v>
      </c>
      <c r="B116" s="90" t="s">
        <v>647</v>
      </c>
      <c r="C116" s="90">
        <v>2284277</v>
      </c>
      <c r="D116" s="90" t="str">
        <f>VLOOKUP(C116,'do průběžek'!$A$2:$D$246,2,FALSE)</f>
        <v>Ústav</v>
      </c>
      <c r="E116" s="90" t="str">
        <f>VLOOKUP(C116,'do průběžek'!$A$2:$D$246,3,FALSE)</f>
        <v>§37 - Odborné sociální poradenství</v>
      </c>
      <c r="F116" s="90" t="str">
        <f>VLOOKUP(C116,'do průběžek'!$A$2:$D$246,4,FALSE)</f>
        <v>ambulantní a terénní</v>
      </c>
      <c r="G116" s="90">
        <f>VLOOKUP(C116,'do průběžek'!$H$2:$J$246,2,FALSE)</f>
        <v>0.255</v>
      </c>
      <c r="H116" s="90">
        <f>VLOOKUP(C116,'do průběžek'!$H$2:$J$246,3,FALSE)</f>
        <v>0</v>
      </c>
      <c r="I116" s="91">
        <v>0</v>
      </c>
      <c r="J116" s="91">
        <v>0</v>
      </c>
      <c r="K116" s="91">
        <v>0</v>
      </c>
      <c r="L116" s="91">
        <v>0</v>
      </c>
      <c r="M116" s="91">
        <v>0</v>
      </c>
      <c r="N116" s="91">
        <v>0</v>
      </c>
      <c r="O116" s="91">
        <v>0</v>
      </c>
      <c r="P116" s="91">
        <v>0</v>
      </c>
      <c r="Q116" s="91">
        <v>0</v>
      </c>
      <c r="R116" s="91">
        <v>0</v>
      </c>
      <c r="S116" s="91">
        <v>0</v>
      </c>
      <c r="T116" s="91">
        <v>0</v>
      </c>
      <c r="U116" s="91">
        <v>0</v>
      </c>
      <c r="V116" s="91">
        <v>0</v>
      </c>
      <c r="W116" s="91">
        <v>0</v>
      </c>
      <c r="X116" s="91">
        <v>0</v>
      </c>
      <c r="Y116" s="91">
        <v>0</v>
      </c>
      <c r="Z116" s="91">
        <v>0</v>
      </c>
      <c r="AA116" s="91">
        <v>0</v>
      </c>
      <c r="AB116" s="91">
        <v>0</v>
      </c>
      <c r="AC116" s="91">
        <v>0</v>
      </c>
      <c r="AD116" s="91">
        <v>0</v>
      </c>
      <c r="AE116" s="91">
        <v>0</v>
      </c>
      <c r="AF116" s="91">
        <v>0</v>
      </c>
      <c r="AG116" s="91">
        <v>0</v>
      </c>
      <c r="AH116" s="91">
        <v>0</v>
      </c>
      <c r="AI116" s="91">
        <v>0</v>
      </c>
      <c r="AJ116" s="91">
        <v>0</v>
      </c>
      <c r="AK116" s="91">
        <v>0</v>
      </c>
      <c r="AL116" s="91">
        <v>0</v>
      </c>
    </row>
    <row r="117" spans="1:38" ht="64.5" hidden="1" x14ac:dyDescent="0.25">
      <c r="A117" s="89" t="s">
        <v>633</v>
      </c>
      <c r="B117" s="90" t="s">
        <v>648</v>
      </c>
      <c r="C117" s="90">
        <v>8791447</v>
      </c>
      <c r="D117" s="90" t="str">
        <f>VLOOKUP(C117,'do průběžek'!$A$2:$D$246,2,FALSE)</f>
        <v>Spolek</v>
      </c>
      <c r="E117" s="90" t="str">
        <f>VLOOKUP(C117,'do průběžek'!$A$2:$D$246,3,FALSE)</f>
        <v>§37 - Odborné sociální poradenství</v>
      </c>
      <c r="F117" s="90" t="str">
        <f>VLOOKUP(C117,'do průběžek'!$A$2:$D$246,4,FALSE)</f>
        <v>ambulantní a terénní</v>
      </c>
      <c r="G117" s="90">
        <f>VLOOKUP(C117,'do průběžek'!$H$2:$J$246,2,FALSE)</f>
        <v>1.2</v>
      </c>
      <c r="H117" s="90">
        <f>VLOOKUP(C117,'do průběžek'!$H$2:$J$246,3,FALSE)</f>
        <v>0</v>
      </c>
      <c r="I117" s="91">
        <v>1315445.8899999999</v>
      </c>
      <c r="J117" s="91">
        <v>666396</v>
      </c>
      <c r="K117" s="91">
        <v>666396</v>
      </c>
      <c r="L117" s="91">
        <v>600000</v>
      </c>
      <c r="M117" s="91">
        <v>0</v>
      </c>
      <c r="N117" s="91">
        <v>26000</v>
      </c>
      <c r="O117" s="91">
        <v>0</v>
      </c>
      <c r="P117" s="91">
        <v>0</v>
      </c>
      <c r="Q117" s="91">
        <v>0</v>
      </c>
      <c r="R117" s="91">
        <v>0</v>
      </c>
      <c r="S117" s="91">
        <v>40396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  <c r="AC117" s="91">
        <v>0</v>
      </c>
      <c r="AD117" s="91">
        <v>0</v>
      </c>
      <c r="AE117" s="91">
        <v>0</v>
      </c>
      <c r="AF117" s="91">
        <v>0</v>
      </c>
      <c r="AG117" s="91">
        <v>0</v>
      </c>
      <c r="AH117" s="91">
        <v>48648</v>
      </c>
      <c r="AI117" s="91">
        <v>6233</v>
      </c>
      <c r="AJ117" s="91">
        <v>0</v>
      </c>
      <c r="AK117" s="91">
        <v>42415</v>
      </c>
      <c r="AL117" s="91">
        <v>0</v>
      </c>
    </row>
    <row r="118" spans="1:38" ht="64.5" hidden="1" x14ac:dyDescent="0.25">
      <c r="A118" s="89" t="s">
        <v>633</v>
      </c>
      <c r="B118" s="90" t="s">
        <v>649</v>
      </c>
      <c r="C118" s="90">
        <v>5070480</v>
      </c>
      <c r="D118" s="90" t="str">
        <f>VLOOKUP(C118,'do průběžek'!$A$2:$D$246,2,FALSE)</f>
        <v>Církve a náboženské společnosti</v>
      </c>
      <c r="E118" s="90" t="str">
        <f>VLOOKUP(C118,'do průběžek'!$A$2:$D$246,3,FALSE)</f>
        <v>§37 - Odborné sociální poradenství</v>
      </c>
      <c r="F118" s="90" t="str">
        <f>VLOOKUP(C118,'do průběžek'!$A$2:$D$246,4,FALSE)</f>
        <v>ambulantní</v>
      </c>
      <c r="G118" s="90">
        <f>VLOOKUP(C118,'do průběžek'!$H$2:$J$246,2,FALSE)</f>
        <v>0.3</v>
      </c>
      <c r="H118" s="90">
        <f>VLOOKUP(C118,'do průběžek'!$H$2:$J$246,3,FALSE)</f>
        <v>0</v>
      </c>
      <c r="I118" s="91">
        <v>504774</v>
      </c>
      <c r="J118" s="91">
        <v>177000</v>
      </c>
      <c r="K118" s="91">
        <v>177000</v>
      </c>
      <c r="L118" s="91">
        <v>150000</v>
      </c>
      <c r="M118" s="91">
        <v>0</v>
      </c>
      <c r="N118" s="91">
        <v>6000</v>
      </c>
      <c r="O118" s="91">
        <v>0</v>
      </c>
      <c r="P118" s="91">
        <v>0</v>
      </c>
      <c r="Q118" s="91">
        <v>0</v>
      </c>
      <c r="R118" s="91">
        <v>0</v>
      </c>
      <c r="S118" s="91">
        <v>21000</v>
      </c>
      <c r="T118" s="91">
        <v>0</v>
      </c>
      <c r="U118" s="91">
        <v>0</v>
      </c>
      <c r="V118" s="91">
        <v>0</v>
      </c>
      <c r="W118" s="91">
        <v>0</v>
      </c>
      <c r="X118" s="91">
        <v>0</v>
      </c>
      <c r="Y118" s="91">
        <v>0</v>
      </c>
      <c r="Z118" s="91">
        <v>0</v>
      </c>
      <c r="AA118" s="91">
        <v>0</v>
      </c>
      <c r="AB118" s="91">
        <v>0</v>
      </c>
      <c r="AC118" s="91">
        <v>0</v>
      </c>
      <c r="AD118" s="91">
        <v>0</v>
      </c>
      <c r="AE118" s="91">
        <v>0</v>
      </c>
      <c r="AF118" s="91">
        <v>0</v>
      </c>
      <c r="AG118" s="91">
        <v>0</v>
      </c>
      <c r="AH118" s="91">
        <v>10035</v>
      </c>
      <c r="AI118" s="91">
        <v>0</v>
      </c>
      <c r="AJ118" s="91">
        <v>0</v>
      </c>
      <c r="AK118" s="91">
        <v>10035</v>
      </c>
      <c r="AL118" s="91">
        <v>0</v>
      </c>
    </row>
    <row r="119" spans="1:38" ht="55.5" hidden="1" x14ac:dyDescent="0.25">
      <c r="A119" s="89" t="s">
        <v>650</v>
      </c>
      <c r="B119" s="90" t="s">
        <v>651</v>
      </c>
      <c r="C119" s="90">
        <v>6790491</v>
      </c>
      <c r="D119" s="90" t="str">
        <f>VLOOKUP(C119,'do průběžek'!$A$2:$D$246,2,FALSE)</f>
        <v>Církve a náboženské společnosti</v>
      </c>
      <c r="E119" s="90" t="str">
        <f>VLOOKUP(C119,'do průběžek'!$A$2:$D$246,3,FALSE)</f>
        <v>§62 - Nízkoprahová zařízení pro děti a mládež</v>
      </c>
      <c r="F119" s="90" t="str">
        <f>VLOOKUP(C119,'do průběžek'!$A$2:$D$246,4,FALSE)</f>
        <v>ambulantní a terénní</v>
      </c>
      <c r="G119" s="90">
        <f>VLOOKUP(C119,'do průběžek'!$H$2:$J$246,2,FALSE)</f>
        <v>3</v>
      </c>
      <c r="H119" s="90">
        <f>VLOOKUP(C119,'do průběžek'!$H$2:$J$246,3,FALSE)</f>
        <v>0</v>
      </c>
      <c r="I119" s="91">
        <v>3220538</v>
      </c>
      <c r="J119" s="91">
        <v>1446327.5</v>
      </c>
      <c r="K119" s="91">
        <v>1384000</v>
      </c>
      <c r="L119" s="91">
        <v>1345000</v>
      </c>
      <c r="M119" s="91">
        <v>0</v>
      </c>
      <c r="N119" s="91">
        <v>0</v>
      </c>
      <c r="O119" s="91">
        <v>0</v>
      </c>
      <c r="P119" s="91">
        <v>0</v>
      </c>
      <c r="Q119" s="91">
        <v>0</v>
      </c>
      <c r="R119" s="91">
        <v>0</v>
      </c>
      <c r="S119" s="91">
        <v>0</v>
      </c>
      <c r="T119" s="91">
        <v>0</v>
      </c>
      <c r="U119" s="91">
        <v>0</v>
      </c>
      <c r="V119" s="91">
        <v>0</v>
      </c>
      <c r="W119" s="91">
        <v>0</v>
      </c>
      <c r="X119" s="91">
        <v>39000</v>
      </c>
      <c r="Y119" s="91">
        <v>62327.5</v>
      </c>
      <c r="Z119" s="91">
        <v>0</v>
      </c>
      <c r="AA119" s="91">
        <v>62327.5</v>
      </c>
      <c r="AB119" s="91">
        <v>0</v>
      </c>
      <c r="AC119" s="91">
        <v>0</v>
      </c>
      <c r="AD119" s="91">
        <v>0</v>
      </c>
      <c r="AE119" s="91">
        <v>0</v>
      </c>
      <c r="AF119" s="91">
        <v>0</v>
      </c>
      <c r="AG119" s="91">
        <v>0</v>
      </c>
      <c r="AH119" s="91">
        <v>61562</v>
      </c>
      <c r="AI119" s="91">
        <v>0</v>
      </c>
      <c r="AJ119" s="91">
        <v>0</v>
      </c>
      <c r="AK119" s="91">
        <v>61562</v>
      </c>
      <c r="AL119" s="91">
        <v>0</v>
      </c>
    </row>
    <row r="120" spans="1:38" ht="55.5" hidden="1" x14ac:dyDescent="0.25">
      <c r="A120" s="89" t="s">
        <v>650</v>
      </c>
      <c r="B120" s="90" t="s">
        <v>652</v>
      </c>
      <c r="C120" s="90">
        <v>1807508</v>
      </c>
      <c r="D120" s="90" t="str">
        <f>VLOOKUP(C120,'do průběžek'!$A$2:$D$246,2,FALSE)</f>
        <v>Církve a náboženské společnosti</v>
      </c>
      <c r="E120" s="90" t="str">
        <f>VLOOKUP(C120,'do průběžek'!$A$2:$D$246,3,FALSE)</f>
        <v>§62 - Nízkoprahová zařízení pro děti a mládež</v>
      </c>
      <c r="F120" s="90" t="str">
        <f>VLOOKUP(C120,'do průběžek'!$A$2:$D$246,4,FALSE)</f>
        <v>ambulantní a terénní</v>
      </c>
      <c r="G120" s="90">
        <f>VLOOKUP(C120,'do průběžek'!$H$2:$J$246,2,FALSE)</f>
        <v>3</v>
      </c>
      <c r="H120" s="90">
        <f>VLOOKUP(C120,'do průběžek'!$H$2:$J$246,3,FALSE)</f>
        <v>0</v>
      </c>
      <c r="I120" s="91">
        <v>3220538</v>
      </c>
      <c r="J120" s="91">
        <v>1409000</v>
      </c>
      <c r="K120" s="91">
        <v>1409000</v>
      </c>
      <c r="L120" s="91">
        <v>1345000</v>
      </c>
      <c r="M120" s="91">
        <v>0</v>
      </c>
      <c r="N120" s="91">
        <v>64000</v>
      </c>
      <c r="O120" s="91">
        <v>0</v>
      </c>
      <c r="P120" s="91">
        <v>0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1">
        <v>0</v>
      </c>
      <c r="W120" s="91">
        <v>0</v>
      </c>
      <c r="X120" s="91">
        <v>0</v>
      </c>
      <c r="Y120" s="91">
        <v>0</v>
      </c>
      <c r="Z120" s="91">
        <v>0</v>
      </c>
      <c r="AA120" s="91">
        <v>0</v>
      </c>
      <c r="AB120" s="91">
        <v>0</v>
      </c>
      <c r="AC120" s="91">
        <v>0</v>
      </c>
      <c r="AD120" s="91">
        <v>0</v>
      </c>
      <c r="AE120" s="91">
        <v>0</v>
      </c>
      <c r="AF120" s="91">
        <v>0</v>
      </c>
      <c r="AG120" s="91">
        <v>0</v>
      </c>
      <c r="AH120" s="91">
        <v>96828</v>
      </c>
      <c r="AI120" s="91">
        <v>10694</v>
      </c>
      <c r="AJ120" s="91">
        <v>0</v>
      </c>
      <c r="AK120" s="91">
        <v>86134</v>
      </c>
      <c r="AL120" s="91">
        <v>0</v>
      </c>
    </row>
    <row r="121" spans="1:38" ht="55.5" hidden="1" x14ac:dyDescent="0.25">
      <c r="A121" s="89" t="s">
        <v>650</v>
      </c>
      <c r="B121" s="90" t="s">
        <v>653</v>
      </c>
      <c r="C121" s="90">
        <v>8501960</v>
      </c>
      <c r="D121" s="90" t="str">
        <f>VLOOKUP(C121,'do průběžek'!$A$2:$D$246,2,FALSE)</f>
        <v>Církve a náboženské společnosti</v>
      </c>
      <c r="E121" s="90" t="str">
        <f>VLOOKUP(C121,'do průběžek'!$A$2:$D$246,3,FALSE)</f>
        <v>§62 - Nízkoprahová zařízení pro děti a mládež</v>
      </c>
      <c r="F121" s="90" t="str">
        <f>VLOOKUP(C121,'do průběžek'!$A$2:$D$246,4,FALSE)</f>
        <v>ambulantní</v>
      </c>
      <c r="G121" s="90">
        <f>VLOOKUP(C121,'do průběžek'!$H$2:$J$246,2,FALSE)</f>
        <v>1.8</v>
      </c>
      <c r="H121" s="90">
        <f>VLOOKUP(C121,'do průběžek'!$H$2:$J$246,3,FALSE)</f>
        <v>0</v>
      </c>
      <c r="I121" s="91">
        <v>2352900</v>
      </c>
      <c r="J121" s="91">
        <v>810000</v>
      </c>
      <c r="K121" s="91">
        <v>810000</v>
      </c>
      <c r="L121" s="91">
        <v>772000</v>
      </c>
      <c r="M121" s="91">
        <v>0</v>
      </c>
      <c r="N121" s="91">
        <v>38000</v>
      </c>
      <c r="O121" s="91">
        <v>0</v>
      </c>
      <c r="P121" s="91">
        <v>0</v>
      </c>
      <c r="Q121" s="91">
        <v>0</v>
      </c>
      <c r="R121" s="91">
        <v>0</v>
      </c>
      <c r="S121" s="91">
        <v>0</v>
      </c>
      <c r="T121" s="91">
        <v>0</v>
      </c>
      <c r="U121" s="91">
        <v>0</v>
      </c>
      <c r="V121" s="91">
        <v>0</v>
      </c>
      <c r="W121" s="91">
        <v>0</v>
      </c>
      <c r="X121" s="91">
        <v>0</v>
      </c>
      <c r="Y121" s="91">
        <v>0</v>
      </c>
      <c r="Z121" s="91">
        <v>0</v>
      </c>
      <c r="AA121" s="91">
        <v>0</v>
      </c>
      <c r="AB121" s="91">
        <v>0</v>
      </c>
      <c r="AC121" s="91">
        <v>0</v>
      </c>
      <c r="AD121" s="91">
        <v>0</v>
      </c>
      <c r="AE121" s="91">
        <v>0</v>
      </c>
      <c r="AF121" s="91">
        <v>0</v>
      </c>
      <c r="AG121" s="91">
        <v>0</v>
      </c>
      <c r="AH121" s="91">
        <v>61340</v>
      </c>
      <c r="AI121" s="91">
        <v>8656</v>
      </c>
      <c r="AJ121" s="91">
        <v>0</v>
      </c>
      <c r="AK121" s="91">
        <v>52684</v>
      </c>
      <c r="AL121" s="91">
        <v>0</v>
      </c>
    </row>
    <row r="122" spans="1:38" ht="55.5" hidden="1" x14ac:dyDescent="0.25">
      <c r="A122" s="89" t="s">
        <v>650</v>
      </c>
      <c r="B122" s="90" t="s">
        <v>654</v>
      </c>
      <c r="C122" s="90">
        <v>8696715</v>
      </c>
      <c r="D122" s="90" t="str">
        <f>VLOOKUP(C122,'do průběžek'!$A$2:$D$246,2,FALSE)</f>
        <v>Církve a náboženské společnosti</v>
      </c>
      <c r="E122" s="90" t="str">
        <f>VLOOKUP(C122,'do průběžek'!$A$2:$D$246,3,FALSE)</f>
        <v>§62 - Nízkoprahová zařízení pro děti a mládež</v>
      </c>
      <c r="F122" s="90" t="str">
        <f>VLOOKUP(C122,'do průběžek'!$A$2:$D$246,4,FALSE)</f>
        <v>ambulantní a terénní</v>
      </c>
      <c r="G122" s="90">
        <f>VLOOKUP(C122,'do průběžek'!$H$2:$J$246,2,FALSE)</f>
        <v>6.2</v>
      </c>
      <c r="H122" s="90">
        <f>VLOOKUP(C122,'do průběžek'!$H$2:$J$246,3,FALSE)</f>
        <v>0</v>
      </c>
      <c r="I122" s="91">
        <v>6655779</v>
      </c>
      <c r="J122" s="91">
        <v>2776000</v>
      </c>
      <c r="K122" s="91">
        <v>2566000</v>
      </c>
      <c r="L122" s="91">
        <v>2476000</v>
      </c>
      <c r="M122" s="91">
        <v>0</v>
      </c>
      <c r="N122" s="91">
        <v>90000</v>
      </c>
      <c r="O122" s="91">
        <v>0</v>
      </c>
      <c r="P122" s="91">
        <v>0</v>
      </c>
      <c r="Q122" s="91">
        <v>0</v>
      </c>
      <c r="R122" s="91">
        <v>0</v>
      </c>
      <c r="S122" s="91">
        <v>0</v>
      </c>
      <c r="T122" s="91">
        <v>0</v>
      </c>
      <c r="U122" s="91">
        <v>0</v>
      </c>
      <c r="V122" s="91">
        <v>0</v>
      </c>
      <c r="W122" s="91">
        <v>0</v>
      </c>
      <c r="X122" s="91">
        <v>0</v>
      </c>
      <c r="Y122" s="91">
        <v>210000</v>
      </c>
      <c r="Z122" s="91">
        <v>0</v>
      </c>
      <c r="AA122" s="91">
        <v>210000</v>
      </c>
      <c r="AB122" s="91">
        <v>0</v>
      </c>
      <c r="AC122" s="91">
        <v>0</v>
      </c>
      <c r="AD122" s="91">
        <v>0</v>
      </c>
      <c r="AE122" s="91">
        <v>0</v>
      </c>
      <c r="AF122" s="91">
        <v>0</v>
      </c>
      <c r="AG122" s="91">
        <v>0</v>
      </c>
      <c r="AH122" s="91">
        <v>161323</v>
      </c>
      <c r="AI122" s="91">
        <v>16277</v>
      </c>
      <c r="AJ122" s="91">
        <v>0</v>
      </c>
      <c r="AK122" s="91">
        <v>145046</v>
      </c>
      <c r="AL122" s="91">
        <v>0</v>
      </c>
    </row>
    <row r="123" spans="1:38" ht="55.5" hidden="1" x14ac:dyDescent="0.25">
      <c r="A123" s="89" t="s">
        <v>650</v>
      </c>
      <c r="B123" s="90" t="s">
        <v>655</v>
      </c>
      <c r="C123" s="90">
        <v>2930990</v>
      </c>
      <c r="D123" s="90" t="str">
        <f>VLOOKUP(C123,'do průběžek'!$A$2:$D$246,2,FALSE)</f>
        <v>Ústav</v>
      </c>
      <c r="E123" s="90" t="str">
        <f>VLOOKUP(C123,'do průběžek'!$A$2:$D$246,3,FALSE)</f>
        <v>§62 - Nízkoprahová zařízení pro děti a mládež</v>
      </c>
      <c r="F123" s="90" t="str">
        <f>VLOOKUP(C123,'do průběžek'!$A$2:$D$246,4,FALSE)</f>
        <v>ambulantní a terénní</v>
      </c>
      <c r="G123" s="90">
        <f>VLOOKUP(C123,'do průběžek'!$H$2:$J$246,2,FALSE)</f>
        <v>5</v>
      </c>
      <c r="H123" s="90">
        <f>VLOOKUP(C123,'do průběžek'!$H$2:$J$246,3,FALSE)</f>
        <v>0</v>
      </c>
      <c r="I123" s="91">
        <v>5367564</v>
      </c>
      <c r="J123" s="91">
        <v>2655000</v>
      </c>
      <c r="K123" s="91">
        <v>2655000</v>
      </c>
      <c r="L123" s="91">
        <v>2228000</v>
      </c>
      <c r="M123" s="91">
        <v>0</v>
      </c>
      <c r="N123" s="91">
        <v>107000</v>
      </c>
      <c r="O123" s="91">
        <v>0</v>
      </c>
      <c r="P123" s="91">
        <v>0</v>
      </c>
      <c r="Q123" s="91">
        <v>0</v>
      </c>
      <c r="R123" s="91">
        <v>0</v>
      </c>
      <c r="S123" s="91">
        <v>320000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  <c r="AC123" s="91">
        <v>0</v>
      </c>
      <c r="AD123" s="91">
        <v>0</v>
      </c>
      <c r="AE123" s="91">
        <v>0</v>
      </c>
      <c r="AF123" s="91">
        <v>0</v>
      </c>
      <c r="AG123" s="91">
        <v>0</v>
      </c>
      <c r="AH123" s="91">
        <v>190665</v>
      </c>
      <c r="AI123" s="91">
        <v>0</v>
      </c>
      <c r="AJ123" s="91">
        <v>0</v>
      </c>
      <c r="AK123" s="91">
        <v>190665</v>
      </c>
      <c r="AL123" s="91">
        <v>0</v>
      </c>
    </row>
    <row r="124" spans="1:38" ht="55.5" hidden="1" x14ac:dyDescent="0.25">
      <c r="A124" s="89" t="s">
        <v>650</v>
      </c>
      <c r="B124" s="90" t="s">
        <v>656</v>
      </c>
      <c r="C124" s="90">
        <v>1303151</v>
      </c>
      <c r="D124" s="90" t="str">
        <f>VLOOKUP(C124,'do průběžek'!$A$2:$D$246,2,FALSE)</f>
        <v>Spolek</v>
      </c>
      <c r="E124" s="90" t="str">
        <f>VLOOKUP(C124,'do průběžek'!$A$2:$D$246,3,FALSE)</f>
        <v>§63 - Noclehárny</v>
      </c>
      <c r="F124" s="90" t="str">
        <f>VLOOKUP(C124,'do průběžek'!$A$2:$D$246,4,FALSE)</f>
        <v>ambulantní</v>
      </c>
      <c r="G124" s="90">
        <f>VLOOKUP(C124,'do průběžek'!$H$2:$J$246,2,FALSE)</f>
        <v>2.25</v>
      </c>
      <c r="H124" s="90">
        <f>VLOOKUP(C124,'do průběžek'!$H$2:$J$246,3,FALSE)</f>
        <v>25</v>
      </c>
      <c r="I124" s="91">
        <v>2467224</v>
      </c>
      <c r="J124" s="91">
        <v>1806402</v>
      </c>
      <c r="K124" s="91">
        <v>1659000</v>
      </c>
      <c r="L124" s="91">
        <v>1346000</v>
      </c>
      <c r="M124" s="91">
        <v>0</v>
      </c>
      <c r="N124" s="91">
        <v>48000</v>
      </c>
      <c r="O124" s="91">
        <v>0</v>
      </c>
      <c r="P124" s="91">
        <v>0</v>
      </c>
      <c r="Q124" s="91">
        <v>0</v>
      </c>
      <c r="R124" s="91">
        <v>0</v>
      </c>
      <c r="S124" s="91">
        <v>265000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147402</v>
      </c>
      <c r="Z124" s="91">
        <v>126020</v>
      </c>
      <c r="AA124" s="91">
        <v>0</v>
      </c>
      <c r="AB124" s="91">
        <v>0</v>
      </c>
      <c r="AC124" s="91">
        <v>0</v>
      </c>
      <c r="AD124" s="91">
        <v>13850</v>
      </c>
      <c r="AE124" s="91">
        <v>0</v>
      </c>
      <c r="AF124" s="91">
        <v>0</v>
      </c>
      <c r="AG124" s="91">
        <v>7532</v>
      </c>
      <c r="AH124" s="91">
        <v>85037</v>
      </c>
      <c r="AI124" s="91">
        <v>0</v>
      </c>
      <c r="AJ124" s="91">
        <v>0</v>
      </c>
      <c r="AK124" s="91">
        <v>85037</v>
      </c>
      <c r="AL124" s="91">
        <v>0</v>
      </c>
    </row>
    <row r="125" spans="1:38" ht="55.5" hidden="1" x14ac:dyDescent="0.25">
      <c r="A125" s="89" t="s">
        <v>650</v>
      </c>
      <c r="B125" s="90" t="s">
        <v>657</v>
      </c>
      <c r="C125" s="90">
        <v>3822869</v>
      </c>
      <c r="D125" s="90" t="str">
        <f>VLOOKUP(C125,'do průběžek'!$A$2:$D$246,2,FALSE)</f>
        <v>Spolek</v>
      </c>
      <c r="E125" s="90" t="str">
        <f>VLOOKUP(C125,'do průběžek'!$A$2:$D$246,3,FALSE)</f>
        <v>§63 - Noclehárny</v>
      </c>
      <c r="F125" s="90" t="str">
        <f>VLOOKUP(C125,'do průběžek'!$A$2:$D$246,4,FALSE)</f>
        <v>ambulantní</v>
      </c>
      <c r="G125" s="90">
        <f>VLOOKUP(C125,'do průběžek'!$H$2:$J$246,2,FALSE)</f>
        <v>2.15</v>
      </c>
      <c r="H125" s="90">
        <f>VLOOKUP(C125,'do průběžek'!$H$2:$J$246,3,FALSE)</f>
        <v>32</v>
      </c>
      <c r="I125" s="91">
        <v>2238570</v>
      </c>
      <c r="J125" s="91">
        <v>1366393.62</v>
      </c>
      <c r="K125" s="91">
        <v>1207000</v>
      </c>
      <c r="L125" s="91">
        <v>1161000</v>
      </c>
      <c r="M125" s="91">
        <v>0</v>
      </c>
      <c r="N125" s="91">
        <v>46000</v>
      </c>
      <c r="O125" s="91">
        <v>0</v>
      </c>
      <c r="P125" s="91">
        <v>0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159393.62</v>
      </c>
      <c r="Z125" s="91">
        <v>151630</v>
      </c>
      <c r="AA125" s="91">
        <v>0</v>
      </c>
      <c r="AB125" s="91">
        <v>0</v>
      </c>
      <c r="AC125" s="91">
        <v>0</v>
      </c>
      <c r="AD125" s="91">
        <v>7200</v>
      </c>
      <c r="AE125" s="91">
        <v>0</v>
      </c>
      <c r="AF125" s="91">
        <v>0</v>
      </c>
      <c r="AG125" s="91">
        <v>563.62</v>
      </c>
      <c r="AH125" s="91">
        <v>72781</v>
      </c>
      <c r="AI125" s="91">
        <v>0</v>
      </c>
      <c r="AJ125" s="91">
        <v>0</v>
      </c>
      <c r="AK125" s="91">
        <v>72781</v>
      </c>
      <c r="AL125" s="91">
        <v>0</v>
      </c>
    </row>
    <row r="126" spans="1:38" ht="55.5" hidden="1" x14ac:dyDescent="0.25">
      <c r="A126" s="89" t="s">
        <v>650</v>
      </c>
      <c r="B126" s="90" t="s">
        <v>658</v>
      </c>
      <c r="C126" s="90">
        <v>4823957</v>
      </c>
      <c r="D126" s="90" t="str">
        <f>VLOOKUP(C126,'do průběžek'!$A$2:$D$246,2,FALSE)</f>
        <v>Ústav</v>
      </c>
      <c r="E126" s="90" t="str">
        <f>VLOOKUP(C126,'do průběžek'!$A$2:$D$246,3,FALSE)</f>
        <v>§65 - Sociálně aktivizační služby pro rodiny s dětmi</v>
      </c>
      <c r="F126" s="90" t="str">
        <f>VLOOKUP(C126,'do průběžek'!$A$2:$D$246,4,FALSE)</f>
        <v>ambulantní a terénní</v>
      </c>
      <c r="G126" s="90">
        <f>VLOOKUP(C126,'do průběžek'!$H$2:$J$246,2,FALSE)</f>
        <v>8.5</v>
      </c>
      <c r="H126" s="90">
        <f>VLOOKUP(C126,'do průběžek'!$H$2:$J$246,3,FALSE)</f>
        <v>0</v>
      </c>
      <c r="I126" s="91">
        <v>8834758</v>
      </c>
      <c r="J126" s="91">
        <v>7164243</v>
      </c>
      <c r="K126" s="91">
        <v>7164243</v>
      </c>
      <c r="L126" s="91">
        <v>6038277</v>
      </c>
      <c r="M126" s="91">
        <v>0</v>
      </c>
      <c r="N126" s="91">
        <v>193000</v>
      </c>
      <c r="O126" s="91">
        <v>0</v>
      </c>
      <c r="P126" s="91">
        <v>0</v>
      </c>
      <c r="Q126" s="91">
        <v>0</v>
      </c>
      <c r="R126" s="91">
        <v>0</v>
      </c>
      <c r="S126" s="91">
        <v>932966</v>
      </c>
      <c r="T126" s="91">
        <v>0</v>
      </c>
      <c r="U126" s="91">
        <v>0</v>
      </c>
      <c r="V126" s="91">
        <v>0</v>
      </c>
      <c r="W126" s="91">
        <v>0</v>
      </c>
      <c r="X126" s="91">
        <v>0</v>
      </c>
      <c r="Y126" s="91">
        <v>0</v>
      </c>
      <c r="Z126" s="91">
        <v>0</v>
      </c>
      <c r="AA126" s="91">
        <v>0</v>
      </c>
      <c r="AB126" s="91">
        <v>0</v>
      </c>
      <c r="AC126" s="91">
        <v>0</v>
      </c>
      <c r="AD126" s="91">
        <v>0</v>
      </c>
      <c r="AE126" s="91">
        <v>0</v>
      </c>
      <c r="AF126" s="91">
        <v>0</v>
      </c>
      <c r="AG126" s="91">
        <v>0</v>
      </c>
      <c r="AH126" s="91">
        <v>311845</v>
      </c>
      <c r="AI126" s="91">
        <v>54441</v>
      </c>
      <c r="AJ126" s="91">
        <v>0</v>
      </c>
      <c r="AK126" s="91">
        <v>257404</v>
      </c>
      <c r="AL126" s="91">
        <v>0</v>
      </c>
    </row>
    <row r="127" spans="1:38" ht="55.5" hidden="1" x14ac:dyDescent="0.25">
      <c r="A127" s="89" t="s">
        <v>650</v>
      </c>
      <c r="B127" s="90" t="s">
        <v>659</v>
      </c>
      <c r="C127" s="90">
        <v>6769479</v>
      </c>
      <c r="D127" s="90" t="str">
        <f>VLOOKUP(C127,'do průběžek'!$A$2:$D$246,2,FALSE)</f>
        <v>Spolek</v>
      </c>
      <c r="E127" s="90" t="str">
        <f>VLOOKUP(C127,'do průběžek'!$A$2:$D$246,3,FALSE)</f>
        <v>§65 - Sociálně aktivizační služby pro rodiny s dětmi</v>
      </c>
      <c r="F127" s="90" t="str">
        <f>VLOOKUP(C127,'do průběžek'!$A$2:$D$246,4,FALSE)</f>
        <v>terénní</v>
      </c>
      <c r="G127" s="90">
        <f>VLOOKUP(C127,'do průběžek'!$H$2:$J$246,2,FALSE)</f>
        <v>4</v>
      </c>
      <c r="H127" s="90">
        <f>VLOOKUP(C127,'do průběžek'!$H$2:$J$246,3,FALSE)</f>
        <v>0</v>
      </c>
      <c r="I127" s="91">
        <v>4157533</v>
      </c>
      <c r="J127" s="91">
        <v>1662482.29</v>
      </c>
      <c r="K127" s="91">
        <v>1632000</v>
      </c>
      <c r="L127" s="91">
        <v>1400000</v>
      </c>
      <c r="M127" s="91">
        <v>0</v>
      </c>
      <c r="N127" s="91">
        <v>0</v>
      </c>
      <c r="O127" s="91">
        <v>0</v>
      </c>
      <c r="P127" s="91">
        <v>0</v>
      </c>
      <c r="Q127" s="91">
        <v>0</v>
      </c>
      <c r="R127" s="91">
        <v>0</v>
      </c>
      <c r="S127" s="91">
        <v>232000</v>
      </c>
      <c r="T127" s="91">
        <v>0</v>
      </c>
      <c r="U127" s="91">
        <v>0</v>
      </c>
      <c r="V127" s="91">
        <v>0</v>
      </c>
      <c r="W127" s="91">
        <v>0</v>
      </c>
      <c r="X127" s="91">
        <v>0</v>
      </c>
      <c r="Y127" s="91">
        <v>30482.29</v>
      </c>
      <c r="Z127" s="91">
        <v>0</v>
      </c>
      <c r="AA127" s="91">
        <v>0</v>
      </c>
      <c r="AB127" s="91">
        <v>0</v>
      </c>
      <c r="AC127" s="91">
        <v>0</v>
      </c>
      <c r="AD127" s="91">
        <v>30482.29</v>
      </c>
      <c r="AE127" s="91">
        <v>0</v>
      </c>
      <c r="AF127" s="91">
        <v>0</v>
      </c>
      <c r="AG127" s="91">
        <v>0</v>
      </c>
      <c r="AH127" s="91">
        <v>129786</v>
      </c>
      <c r="AI127" s="91">
        <v>0</v>
      </c>
      <c r="AJ127" s="91">
        <v>129786</v>
      </c>
      <c r="AK127" s="91">
        <v>0</v>
      </c>
      <c r="AL127" s="91">
        <v>0</v>
      </c>
    </row>
    <row r="128" spans="1:38" ht="55.5" hidden="1" x14ac:dyDescent="0.25">
      <c r="A128" s="89" t="s">
        <v>650</v>
      </c>
      <c r="B128" s="90" t="s">
        <v>660</v>
      </c>
      <c r="C128" s="90">
        <v>7080749</v>
      </c>
      <c r="D128" s="90" t="str">
        <f>VLOOKUP(C128,'do průběžek'!$A$2:$D$246,2,FALSE)</f>
        <v>Církve a náboženské společnosti</v>
      </c>
      <c r="E128" s="90" t="str">
        <f>VLOOKUP(C128,'do průběžek'!$A$2:$D$246,3,FALSE)</f>
        <v>§65 - Sociálně aktivizační služby pro rodiny s dětmi</v>
      </c>
      <c r="F128" s="90" t="str">
        <f>VLOOKUP(C128,'do průběžek'!$A$2:$D$246,4,FALSE)</f>
        <v>terénní</v>
      </c>
      <c r="G128" s="90">
        <f>VLOOKUP(C128,'do průběžek'!$H$2:$J$246,2,FALSE)</f>
        <v>4</v>
      </c>
      <c r="H128" s="90">
        <f>VLOOKUP(C128,'do průběžek'!$H$2:$J$246,3,FALSE)</f>
        <v>0</v>
      </c>
      <c r="I128" s="91">
        <v>4157533</v>
      </c>
      <c r="J128" s="91">
        <v>3060598</v>
      </c>
      <c r="K128" s="91">
        <v>3060598</v>
      </c>
      <c r="L128" s="91">
        <v>1852000</v>
      </c>
      <c r="M128" s="91">
        <v>0</v>
      </c>
      <c r="N128" s="91">
        <v>86000</v>
      </c>
      <c r="O128" s="91">
        <v>0</v>
      </c>
      <c r="P128" s="91">
        <v>0</v>
      </c>
      <c r="Q128" s="91">
        <v>0</v>
      </c>
      <c r="R128" s="91">
        <v>0</v>
      </c>
      <c r="S128" s="91">
        <v>977647</v>
      </c>
      <c r="T128" s="91">
        <v>0</v>
      </c>
      <c r="U128" s="91">
        <v>0</v>
      </c>
      <c r="V128" s="91">
        <v>0</v>
      </c>
      <c r="W128" s="91">
        <v>144951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  <c r="AC128" s="91">
        <v>0</v>
      </c>
      <c r="AD128" s="91">
        <v>0</v>
      </c>
      <c r="AE128" s="91">
        <v>0</v>
      </c>
      <c r="AF128" s="91">
        <v>0</v>
      </c>
      <c r="AG128" s="91">
        <v>0</v>
      </c>
      <c r="AH128" s="91">
        <v>145474</v>
      </c>
      <c r="AI128" s="91">
        <v>0</v>
      </c>
      <c r="AJ128" s="91">
        <v>0</v>
      </c>
      <c r="AK128" s="91">
        <v>145474</v>
      </c>
      <c r="AL128" s="91">
        <v>0</v>
      </c>
    </row>
    <row r="129" spans="1:38" ht="55.5" hidden="1" x14ac:dyDescent="0.25">
      <c r="A129" s="89" t="s">
        <v>650</v>
      </c>
      <c r="B129" s="90" t="s">
        <v>661</v>
      </c>
      <c r="C129" s="90">
        <v>2925974</v>
      </c>
      <c r="D129" s="90" t="str">
        <f>VLOOKUP(C129,'do průběžek'!$A$2:$D$246,2,FALSE)</f>
        <v>Církve a náboženské společnosti</v>
      </c>
      <c r="E129" s="90" t="str">
        <f>VLOOKUP(C129,'do průběžek'!$A$2:$D$246,3,FALSE)</f>
        <v>§65 - Sociálně aktivizační služby pro rodiny s dětmi</v>
      </c>
      <c r="F129" s="90" t="str">
        <f>VLOOKUP(C129,'do průběžek'!$A$2:$D$246,4,FALSE)</f>
        <v>ambulantní a terénní</v>
      </c>
      <c r="G129" s="90">
        <f>VLOOKUP(C129,'do průběžek'!$H$2:$J$246,2,FALSE)</f>
        <v>7</v>
      </c>
      <c r="H129" s="90">
        <f>VLOOKUP(C129,'do průběžek'!$H$2:$J$246,3,FALSE)</f>
        <v>0</v>
      </c>
      <c r="I129" s="91">
        <v>7275683</v>
      </c>
      <c r="J129" s="91">
        <v>3400913</v>
      </c>
      <c r="K129" s="91">
        <v>3395000</v>
      </c>
      <c r="L129" s="91">
        <v>3395000</v>
      </c>
      <c r="M129" s="91">
        <v>0</v>
      </c>
      <c r="N129" s="91">
        <v>0</v>
      </c>
      <c r="O129" s="91">
        <v>0</v>
      </c>
      <c r="P129" s="91">
        <v>0</v>
      </c>
      <c r="Q129" s="91">
        <v>0</v>
      </c>
      <c r="R129" s="91">
        <v>0</v>
      </c>
      <c r="S129" s="91">
        <v>0</v>
      </c>
      <c r="T129" s="91">
        <v>0</v>
      </c>
      <c r="U129" s="91">
        <v>0</v>
      </c>
      <c r="V129" s="91">
        <v>0</v>
      </c>
      <c r="W129" s="91">
        <v>0</v>
      </c>
      <c r="X129" s="91">
        <v>0</v>
      </c>
      <c r="Y129" s="91">
        <v>5913</v>
      </c>
      <c r="Z129" s="91">
        <v>0</v>
      </c>
      <c r="AA129" s="91">
        <v>5913</v>
      </c>
      <c r="AB129" s="91">
        <v>0</v>
      </c>
      <c r="AC129" s="91">
        <v>0</v>
      </c>
      <c r="AD129" s="91">
        <v>0</v>
      </c>
      <c r="AE129" s="91">
        <v>0</v>
      </c>
      <c r="AF129" s="91">
        <v>0</v>
      </c>
      <c r="AG129" s="91">
        <v>0</v>
      </c>
      <c r="AH129" s="91">
        <v>194425</v>
      </c>
      <c r="AI129" s="91">
        <v>0</v>
      </c>
      <c r="AJ129" s="91">
        <v>0</v>
      </c>
      <c r="AK129" s="91">
        <v>194425</v>
      </c>
      <c r="AL129" s="91">
        <v>0</v>
      </c>
    </row>
    <row r="130" spans="1:38" ht="55.5" hidden="1" x14ac:dyDescent="0.25">
      <c r="A130" s="89" t="s">
        <v>650</v>
      </c>
      <c r="B130" s="90" t="s">
        <v>662</v>
      </c>
      <c r="C130" s="90">
        <v>7472903</v>
      </c>
      <c r="D130" s="90" t="str">
        <f>VLOOKUP(C130,'do průběžek'!$A$2:$D$246,2,FALSE)</f>
        <v>Ústav</v>
      </c>
      <c r="E130" s="90" t="str">
        <f>VLOOKUP(C130,'do průběžek'!$A$2:$D$246,3,FALSE)</f>
        <v>§65 - Sociálně aktivizační služby pro rodiny s dětmi</v>
      </c>
      <c r="F130" s="90" t="str">
        <f>VLOOKUP(C130,'do průběžek'!$A$2:$D$246,4,FALSE)</f>
        <v>ambulantní a terénní</v>
      </c>
      <c r="G130" s="90">
        <f>VLOOKUP(C130,'do průběžek'!$H$2:$J$246,2,FALSE)</f>
        <v>0.29899999999999999</v>
      </c>
      <c r="H130" s="90">
        <f>VLOOKUP(C130,'do průběžek'!$H$2:$J$246,3,FALSE)</f>
        <v>0</v>
      </c>
      <c r="I130" s="91">
        <v>0</v>
      </c>
      <c r="J130" s="91">
        <v>0</v>
      </c>
      <c r="K130" s="91">
        <v>0</v>
      </c>
      <c r="L130" s="91">
        <v>0</v>
      </c>
      <c r="M130" s="91">
        <v>0</v>
      </c>
      <c r="N130" s="91">
        <v>0</v>
      </c>
      <c r="O130" s="91">
        <v>0</v>
      </c>
      <c r="P130" s="91">
        <v>0</v>
      </c>
      <c r="Q130" s="91">
        <v>0</v>
      </c>
      <c r="R130" s="91">
        <v>0</v>
      </c>
      <c r="S130" s="91">
        <v>0</v>
      </c>
      <c r="T130" s="91">
        <v>0</v>
      </c>
      <c r="U130" s="91">
        <v>0</v>
      </c>
      <c r="V130" s="91">
        <v>0</v>
      </c>
      <c r="W130" s="91">
        <v>0</v>
      </c>
      <c r="X130" s="91">
        <v>0</v>
      </c>
      <c r="Y130" s="91">
        <v>0</v>
      </c>
      <c r="Z130" s="91">
        <v>0</v>
      </c>
      <c r="AA130" s="91">
        <v>0</v>
      </c>
      <c r="AB130" s="91">
        <v>0</v>
      </c>
      <c r="AC130" s="91">
        <v>0</v>
      </c>
      <c r="AD130" s="91">
        <v>0</v>
      </c>
      <c r="AE130" s="91">
        <v>0</v>
      </c>
      <c r="AF130" s="91">
        <v>0</v>
      </c>
      <c r="AG130" s="91">
        <v>0</v>
      </c>
      <c r="AH130" s="91">
        <v>0</v>
      </c>
      <c r="AI130" s="91">
        <v>0</v>
      </c>
      <c r="AJ130" s="91">
        <v>0</v>
      </c>
      <c r="AK130" s="91">
        <v>0</v>
      </c>
      <c r="AL130" s="91">
        <v>0</v>
      </c>
    </row>
    <row r="131" spans="1:38" ht="55.5" hidden="1" x14ac:dyDescent="0.25">
      <c r="A131" s="89" t="s">
        <v>650</v>
      </c>
      <c r="B131" s="90" t="s">
        <v>663</v>
      </c>
      <c r="C131" s="90">
        <v>6374958</v>
      </c>
      <c r="D131" s="90" t="str">
        <f>VLOOKUP(C131,'do průběžek'!$A$2:$D$246,2,FALSE)</f>
        <v>Spolek</v>
      </c>
      <c r="E131" s="90" t="str">
        <f>VLOOKUP(C131,'do průběžek'!$A$2:$D$246,3,FALSE)</f>
        <v>§65 - Sociálně aktivizační služby pro rodiny s dětmi</v>
      </c>
      <c r="F131" s="90" t="str">
        <f>VLOOKUP(C131,'do průběžek'!$A$2:$D$246,4,FALSE)</f>
        <v>ambulantní a terénní</v>
      </c>
      <c r="G131" s="90">
        <f>VLOOKUP(C131,'do průběžek'!$H$2:$J$246,2,FALSE)</f>
        <v>2</v>
      </c>
      <c r="H131" s="90">
        <f>VLOOKUP(C131,'do průběžek'!$H$2:$J$246,3,FALSE)</f>
        <v>0</v>
      </c>
      <c r="I131" s="91">
        <v>2078766.67</v>
      </c>
      <c r="J131" s="91">
        <v>1111955</v>
      </c>
      <c r="K131" s="91">
        <v>1099455</v>
      </c>
      <c r="L131" s="91">
        <v>983000</v>
      </c>
      <c r="M131" s="91">
        <v>0</v>
      </c>
      <c r="N131" s="91">
        <v>43000</v>
      </c>
      <c r="O131" s="91">
        <v>0</v>
      </c>
      <c r="P131" s="91">
        <v>0</v>
      </c>
      <c r="Q131" s="91">
        <v>0</v>
      </c>
      <c r="R131" s="91">
        <v>0</v>
      </c>
      <c r="S131" s="91">
        <v>73455</v>
      </c>
      <c r="T131" s="91">
        <v>0</v>
      </c>
      <c r="U131" s="91">
        <v>0</v>
      </c>
      <c r="V131" s="91">
        <v>0</v>
      </c>
      <c r="W131" s="91">
        <v>0</v>
      </c>
      <c r="X131" s="91">
        <v>0</v>
      </c>
      <c r="Y131" s="91">
        <v>12500</v>
      </c>
      <c r="Z131" s="91">
        <v>0</v>
      </c>
      <c r="AA131" s="91">
        <v>12500</v>
      </c>
      <c r="AB131" s="91">
        <v>0</v>
      </c>
      <c r="AC131" s="91">
        <v>0</v>
      </c>
      <c r="AD131" s="91">
        <v>0</v>
      </c>
      <c r="AE131" s="91">
        <v>0</v>
      </c>
      <c r="AF131" s="91">
        <v>0</v>
      </c>
      <c r="AG131" s="91">
        <v>0</v>
      </c>
      <c r="AH131" s="91">
        <v>93512</v>
      </c>
      <c r="AI131" s="91">
        <v>6233</v>
      </c>
      <c r="AJ131" s="91">
        <v>0</v>
      </c>
      <c r="AK131" s="91">
        <v>87279</v>
      </c>
      <c r="AL131" s="91">
        <v>0</v>
      </c>
    </row>
    <row r="132" spans="1:38" ht="55.5" hidden="1" x14ac:dyDescent="0.25">
      <c r="A132" s="89" t="s">
        <v>650</v>
      </c>
      <c r="B132" s="90" t="s">
        <v>664</v>
      </c>
      <c r="C132" s="90">
        <v>4756138</v>
      </c>
      <c r="D132" s="90" t="str">
        <f>VLOOKUP(C132,'do průběžek'!$A$2:$D$246,2,FALSE)</f>
        <v>Ústav</v>
      </c>
      <c r="E132" s="90" t="str">
        <f>VLOOKUP(C132,'do průběžek'!$A$2:$D$246,3,FALSE)</f>
        <v>§66 - Sociálně aktivizační služby pro seniory a osoby se zdravotním postižením</v>
      </c>
      <c r="F132" s="90" t="str">
        <f>VLOOKUP(C132,'do průběžek'!$A$2:$D$246,4,FALSE)</f>
        <v>ambulantní a terénní</v>
      </c>
      <c r="G132" s="90">
        <f>VLOOKUP(C132,'do průběžek'!$H$2:$J$246,2,FALSE)</f>
        <v>1.57</v>
      </c>
      <c r="H132" s="90">
        <f>VLOOKUP(C132,'do průběžek'!$H$2:$J$246,3,FALSE)</f>
        <v>0</v>
      </c>
      <c r="I132" s="91">
        <v>1588790</v>
      </c>
      <c r="J132" s="91">
        <v>816726</v>
      </c>
      <c r="K132" s="91">
        <v>815726</v>
      </c>
      <c r="L132" s="91">
        <v>723000</v>
      </c>
      <c r="M132" s="91">
        <v>0</v>
      </c>
      <c r="N132" s="91">
        <v>34000</v>
      </c>
      <c r="O132" s="91">
        <v>0</v>
      </c>
      <c r="P132" s="91">
        <v>0</v>
      </c>
      <c r="Q132" s="91">
        <v>0</v>
      </c>
      <c r="R132" s="91">
        <v>0</v>
      </c>
      <c r="S132" s="91">
        <v>58726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1000</v>
      </c>
      <c r="Z132" s="91">
        <v>0</v>
      </c>
      <c r="AA132" s="91">
        <v>0</v>
      </c>
      <c r="AB132" s="91">
        <v>0</v>
      </c>
      <c r="AC132" s="91">
        <v>0</v>
      </c>
      <c r="AD132" s="91">
        <v>0</v>
      </c>
      <c r="AE132" s="91">
        <v>1000</v>
      </c>
      <c r="AF132" s="91">
        <v>0</v>
      </c>
      <c r="AG132" s="91">
        <v>0</v>
      </c>
      <c r="AH132" s="91">
        <v>59591</v>
      </c>
      <c r="AI132" s="91">
        <v>0</v>
      </c>
      <c r="AJ132" s="91">
        <v>9496</v>
      </c>
      <c r="AK132" s="91">
        <v>50095</v>
      </c>
      <c r="AL132" s="91">
        <v>0</v>
      </c>
    </row>
    <row r="133" spans="1:38" ht="55.5" hidden="1" x14ac:dyDescent="0.25">
      <c r="A133" s="89" t="s">
        <v>650</v>
      </c>
      <c r="B133" s="90" t="s">
        <v>665</v>
      </c>
      <c r="C133" s="90">
        <v>4319542</v>
      </c>
      <c r="D133" s="90" t="str">
        <f>VLOOKUP(C133,'do průběžek'!$A$2:$D$246,2,FALSE)</f>
        <v>Ústav</v>
      </c>
      <c r="E133" s="90" t="str">
        <f>VLOOKUP(C133,'do průběžek'!$A$2:$D$246,3,FALSE)</f>
        <v>§66 - Sociálně aktivizační služby pro seniory a osoby se zdravotním postižením</v>
      </c>
      <c r="F133" s="90" t="str">
        <f>VLOOKUP(C133,'do průběžek'!$A$2:$D$246,4,FALSE)</f>
        <v>ambulantní</v>
      </c>
      <c r="G133" s="90">
        <f>VLOOKUP(C133,'do průběžek'!$H$2:$J$246,2,FALSE)</f>
        <v>0.21000000000000002</v>
      </c>
      <c r="H133" s="90">
        <f>VLOOKUP(C133,'do průběžek'!$H$2:$J$246,3,FALSE)</f>
        <v>0</v>
      </c>
      <c r="I133" s="91">
        <v>0</v>
      </c>
      <c r="J133" s="91">
        <v>0</v>
      </c>
      <c r="K133" s="91">
        <v>0</v>
      </c>
      <c r="L133" s="91">
        <v>0</v>
      </c>
      <c r="M133" s="91">
        <v>0</v>
      </c>
      <c r="N133" s="91">
        <v>0</v>
      </c>
      <c r="O133" s="91">
        <v>0</v>
      </c>
      <c r="P133" s="91">
        <v>0</v>
      </c>
      <c r="Q133" s="91">
        <v>0</v>
      </c>
      <c r="R133" s="91">
        <v>0</v>
      </c>
      <c r="S133" s="91">
        <v>0</v>
      </c>
      <c r="T133" s="91">
        <v>0</v>
      </c>
      <c r="U133" s="91">
        <v>0</v>
      </c>
      <c r="V133" s="91">
        <v>0</v>
      </c>
      <c r="W133" s="91">
        <v>0</v>
      </c>
      <c r="X133" s="91">
        <v>0</v>
      </c>
      <c r="Y133" s="91">
        <v>0</v>
      </c>
      <c r="Z133" s="91">
        <v>0</v>
      </c>
      <c r="AA133" s="91">
        <v>0</v>
      </c>
      <c r="AB133" s="91">
        <v>0</v>
      </c>
      <c r="AC133" s="91">
        <v>0</v>
      </c>
      <c r="AD133" s="91">
        <v>0</v>
      </c>
      <c r="AE133" s="91">
        <v>0</v>
      </c>
      <c r="AF133" s="91">
        <v>0</v>
      </c>
      <c r="AG133" s="91">
        <v>0</v>
      </c>
      <c r="AH133" s="91">
        <v>0</v>
      </c>
      <c r="AI133" s="91">
        <v>0</v>
      </c>
      <c r="AJ133" s="91">
        <v>0</v>
      </c>
      <c r="AK133" s="91">
        <v>0</v>
      </c>
      <c r="AL133" s="91">
        <v>0</v>
      </c>
    </row>
    <row r="134" spans="1:38" ht="55.5" hidden="1" x14ac:dyDescent="0.25">
      <c r="A134" s="89" t="s">
        <v>650</v>
      </c>
      <c r="B134" s="90" t="s">
        <v>666</v>
      </c>
      <c r="C134" s="90">
        <v>8054292</v>
      </c>
      <c r="D134" s="90" t="str">
        <f>VLOOKUP(C134,'do průběžek'!$A$2:$D$246,2,FALSE)</f>
        <v>Spolek</v>
      </c>
      <c r="E134" s="90" t="str">
        <f>VLOOKUP(C134,'do průběžek'!$A$2:$D$246,3,FALSE)</f>
        <v>§66 - Sociálně aktivizační služby pro seniory a osoby se zdravotním postižením</v>
      </c>
      <c r="F134" s="90" t="str">
        <f>VLOOKUP(C134,'do průběžek'!$A$2:$D$246,4,FALSE)</f>
        <v>ambulantní a terénní</v>
      </c>
      <c r="G134" s="90">
        <f>VLOOKUP(C134,'do průběžek'!$H$2:$J$246,2,FALSE)</f>
        <v>1.2</v>
      </c>
      <c r="H134" s="90">
        <f>VLOOKUP(C134,'do průběžek'!$H$2:$J$246,3,FALSE)</f>
        <v>0</v>
      </c>
      <c r="I134" s="91">
        <v>1214362.1000000001</v>
      </c>
      <c r="J134" s="91">
        <v>634884</v>
      </c>
      <c r="K134" s="91">
        <v>634884</v>
      </c>
      <c r="L134" s="91">
        <v>552000</v>
      </c>
      <c r="M134" s="91">
        <v>0</v>
      </c>
      <c r="N134" s="91">
        <v>26000</v>
      </c>
      <c r="O134" s="91">
        <v>0</v>
      </c>
      <c r="P134" s="91">
        <v>0</v>
      </c>
      <c r="Q134" s="91">
        <v>0</v>
      </c>
      <c r="R134" s="91">
        <v>0</v>
      </c>
      <c r="S134" s="91">
        <v>56884</v>
      </c>
      <c r="T134" s="91">
        <v>0</v>
      </c>
      <c r="U134" s="91">
        <v>0</v>
      </c>
      <c r="V134" s="91">
        <v>0</v>
      </c>
      <c r="W134" s="91">
        <v>0</v>
      </c>
      <c r="X134" s="91">
        <v>0</v>
      </c>
      <c r="Y134" s="91">
        <v>0</v>
      </c>
      <c r="Z134" s="91">
        <v>0</v>
      </c>
      <c r="AA134" s="91">
        <v>0</v>
      </c>
      <c r="AB134" s="91">
        <v>0</v>
      </c>
      <c r="AC134" s="91">
        <v>0</v>
      </c>
      <c r="AD134" s="91">
        <v>0</v>
      </c>
      <c r="AE134" s="91">
        <v>0</v>
      </c>
      <c r="AF134" s="91">
        <v>0</v>
      </c>
      <c r="AG134" s="91">
        <v>0</v>
      </c>
      <c r="AH134" s="91">
        <v>40352</v>
      </c>
      <c r="AI134" s="91">
        <v>6233</v>
      </c>
      <c r="AJ134" s="91">
        <v>0</v>
      </c>
      <c r="AK134" s="91">
        <v>34119</v>
      </c>
      <c r="AL134" s="91">
        <v>0</v>
      </c>
    </row>
    <row r="135" spans="1:38" ht="55.5" hidden="1" x14ac:dyDescent="0.25">
      <c r="A135" s="89" t="s">
        <v>650</v>
      </c>
      <c r="B135" s="90" t="s">
        <v>667</v>
      </c>
      <c r="C135" s="90">
        <v>9072226</v>
      </c>
      <c r="D135" s="90" t="str">
        <f>VLOOKUP(C135,'do průběžek'!$A$2:$D$246,2,FALSE)</f>
        <v>Obecně prospěšná společnost</v>
      </c>
      <c r="E135" s="90" t="str">
        <f>VLOOKUP(C135,'do průběžek'!$A$2:$D$246,3,FALSE)</f>
        <v>§66 - Sociálně aktivizační služby pro seniory a osoby se zdravotním postižením</v>
      </c>
      <c r="F135" s="90" t="str">
        <f>VLOOKUP(C135,'do průběžek'!$A$2:$D$246,4,FALSE)</f>
        <v>ambulantní a terénní</v>
      </c>
      <c r="G135" s="90">
        <f>VLOOKUP(C135,'do průběžek'!$H$2:$J$246,2,FALSE)</f>
        <v>2.2999999999999998</v>
      </c>
      <c r="H135" s="90">
        <f>VLOOKUP(C135,'do průběžek'!$H$2:$J$246,3,FALSE)</f>
        <v>0</v>
      </c>
      <c r="I135" s="91">
        <v>2327527</v>
      </c>
      <c r="J135" s="91">
        <v>1098000</v>
      </c>
      <c r="K135" s="91">
        <v>1098000</v>
      </c>
      <c r="L135" s="91">
        <v>1098000</v>
      </c>
      <c r="M135" s="91">
        <v>0</v>
      </c>
      <c r="N135" s="91">
        <v>0</v>
      </c>
      <c r="O135" s="91">
        <v>0</v>
      </c>
      <c r="P135" s="91">
        <v>0</v>
      </c>
      <c r="Q135" s="91">
        <v>0</v>
      </c>
      <c r="R135" s="91">
        <v>0</v>
      </c>
      <c r="S135" s="91">
        <v>0</v>
      </c>
      <c r="T135" s="91">
        <v>0</v>
      </c>
      <c r="U135" s="91">
        <v>0</v>
      </c>
      <c r="V135" s="91">
        <v>0</v>
      </c>
      <c r="W135" s="91">
        <v>0</v>
      </c>
      <c r="X135" s="91">
        <v>0</v>
      </c>
      <c r="Y135" s="91">
        <v>0</v>
      </c>
      <c r="Z135" s="91">
        <v>0</v>
      </c>
      <c r="AA135" s="91">
        <v>0</v>
      </c>
      <c r="AB135" s="91">
        <v>0</v>
      </c>
      <c r="AC135" s="91">
        <v>0</v>
      </c>
      <c r="AD135" s="91">
        <v>0</v>
      </c>
      <c r="AE135" s="91">
        <v>0</v>
      </c>
      <c r="AF135" s="91">
        <v>0</v>
      </c>
      <c r="AG135" s="91">
        <v>0</v>
      </c>
      <c r="AH135" s="91">
        <v>0</v>
      </c>
      <c r="AI135" s="91">
        <v>0</v>
      </c>
      <c r="AJ135" s="91">
        <v>0</v>
      </c>
      <c r="AK135" s="91">
        <v>0</v>
      </c>
      <c r="AL135" s="91">
        <v>0</v>
      </c>
    </row>
    <row r="136" spans="1:38" ht="55.5" hidden="1" x14ac:dyDescent="0.25">
      <c r="A136" s="89" t="s">
        <v>650</v>
      </c>
      <c r="B136" s="90" t="s">
        <v>668</v>
      </c>
      <c r="C136" s="90">
        <v>2954592</v>
      </c>
      <c r="D136" s="90" t="str">
        <f>VLOOKUP(C136,'do průběžek'!$A$2:$D$246,2,FALSE)</f>
        <v>Obecně prospěšná společnost</v>
      </c>
      <c r="E136" s="90" t="str">
        <f>VLOOKUP(C136,'do průběžek'!$A$2:$D$246,3,FALSE)</f>
        <v>§66 - Sociálně aktivizační služby pro seniory a osoby se zdravotním postižením</v>
      </c>
      <c r="F136" s="90" t="str">
        <f>VLOOKUP(C136,'do průběžek'!$A$2:$D$246,4,FALSE)</f>
        <v>ambulantní a terénní</v>
      </c>
      <c r="G136" s="90">
        <f>VLOOKUP(C136,'do průběžek'!$H$2:$J$246,2,FALSE)</f>
        <v>2.67</v>
      </c>
      <c r="H136" s="90">
        <f>VLOOKUP(C136,'do průběžek'!$H$2:$J$246,3,FALSE)</f>
        <v>0</v>
      </c>
      <c r="I136" s="91">
        <v>2701955.67</v>
      </c>
      <c r="J136" s="91">
        <v>1288228</v>
      </c>
      <c r="K136" s="91">
        <v>1167620</v>
      </c>
      <c r="L136" s="91">
        <v>1110000</v>
      </c>
      <c r="M136" s="91">
        <v>0</v>
      </c>
      <c r="N136" s="91">
        <v>0</v>
      </c>
      <c r="O136" s="91">
        <v>0</v>
      </c>
      <c r="P136" s="91">
        <v>0</v>
      </c>
      <c r="Q136" s="91">
        <v>0</v>
      </c>
      <c r="R136" s="91">
        <v>0</v>
      </c>
      <c r="S136" s="91">
        <v>57620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120608</v>
      </c>
      <c r="Z136" s="91">
        <v>0</v>
      </c>
      <c r="AA136" s="91">
        <v>120608</v>
      </c>
      <c r="AB136" s="91">
        <v>0</v>
      </c>
      <c r="AC136" s="91">
        <v>0</v>
      </c>
      <c r="AD136" s="91">
        <v>0</v>
      </c>
      <c r="AE136" s="91">
        <v>0</v>
      </c>
      <c r="AF136" s="91">
        <v>0</v>
      </c>
      <c r="AG136" s="91">
        <v>0</v>
      </c>
      <c r="AH136" s="91">
        <v>0</v>
      </c>
      <c r="AI136" s="91">
        <v>0</v>
      </c>
      <c r="AJ136" s="91">
        <v>0</v>
      </c>
      <c r="AK136" s="91">
        <v>0</v>
      </c>
      <c r="AL136" s="91">
        <v>0</v>
      </c>
    </row>
    <row r="137" spans="1:38" ht="55.5" hidden="1" x14ac:dyDescent="0.25">
      <c r="A137" s="89" t="s">
        <v>650</v>
      </c>
      <c r="B137" s="90" t="s">
        <v>669</v>
      </c>
      <c r="C137" s="90">
        <v>2718583</v>
      </c>
      <c r="D137" s="90" t="str">
        <f>VLOOKUP(C137,'do průběžek'!$A$2:$D$246,2,FALSE)</f>
        <v>Obecně prospěšná společnost</v>
      </c>
      <c r="E137" s="90" t="str">
        <f>VLOOKUP(C137,'do průběžek'!$A$2:$D$246,3,FALSE)</f>
        <v>§67 - Sociálně terapeutické dílny</v>
      </c>
      <c r="F137" s="90" t="str">
        <f>VLOOKUP(C137,'do průběžek'!$A$2:$D$246,4,FALSE)</f>
        <v>ambulantní</v>
      </c>
      <c r="G137" s="90">
        <f>VLOOKUP(C137,'do průběžek'!$H$2:$J$246,2,FALSE)</f>
        <v>2.6</v>
      </c>
      <c r="H137" s="90">
        <f>VLOOKUP(C137,'do průběžek'!$H$2:$J$246,3,FALSE)</f>
        <v>0</v>
      </c>
      <c r="I137" s="91">
        <v>2970000</v>
      </c>
      <c r="J137" s="91">
        <v>1399145</v>
      </c>
      <c r="K137" s="91">
        <v>1358345</v>
      </c>
      <c r="L137" s="91">
        <v>1272000</v>
      </c>
      <c r="M137" s="91">
        <v>0</v>
      </c>
      <c r="N137" s="91">
        <v>0</v>
      </c>
      <c r="O137" s="91">
        <v>0</v>
      </c>
      <c r="P137" s="91">
        <v>0</v>
      </c>
      <c r="Q137" s="91">
        <v>0</v>
      </c>
      <c r="R137" s="91">
        <v>0</v>
      </c>
      <c r="S137" s="91">
        <v>86345</v>
      </c>
      <c r="T137" s="91">
        <v>0</v>
      </c>
      <c r="U137" s="91">
        <v>0</v>
      </c>
      <c r="V137" s="91">
        <v>0</v>
      </c>
      <c r="W137" s="91">
        <v>0</v>
      </c>
      <c r="X137" s="91">
        <v>0</v>
      </c>
      <c r="Y137" s="91">
        <v>40800</v>
      </c>
      <c r="Z137" s="91">
        <v>0</v>
      </c>
      <c r="AA137" s="91">
        <v>40800</v>
      </c>
      <c r="AB137" s="91">
        <v>0</v>
      </c>
      <c r="AC137" s="91">
        <v>0</v>
      </c>
      <c r="AD137" s="91">
        <v>0</v>
      </c>
      <c r="AE137" s="91">
        <v>0</v>
      </c>
      <c r="AF137" s="91">
        <v>0</v>
      </c>
      <c r="AG137" s="91">
        <v>0</v>
      </c>
      <c r="AH137" s="91">
        <v>121557</v>
      </c>
      <c r="AI137" s="91">
        <v>0</v>
      </c>
      <c r="AJ137" s="91">
        <v>0</v>
      </c>
      <c r="AK137" s="91">
        <v>121557</v>
      </c>
      <c r="AL137" s="91">
        <v>0</v>
      </c>
    </row>
    <row r="138" spans="1:38" ht="55.5" hidden="1" x14ac:dyDescent="0.25">
      <c r="A138" s="89" t="s">
        <v>650</v>
      </c>
      <c r="B138" s="90" t="s">
        <v>670</v>
      </c>
      <c r="C138" s="90">
        <v>1467756</v>
      </c>
      <c r="D138" s="90" t="str">
        <f>VLOOKUP(C138,'do průběžek'!$A$2:$D$246,2,FALSE)</f>
        <v>PO kraje</v>
      </c>
      <c r="E138" s="90" t="str">
        <f>VLOOKUP(C138,'do průběžek'!$A$2:$D$246,3,FALSE)</f>
        <v>§67 - Sociálně terapeutické dílny</v>
      </c>
      <c r="F138" s="90" t="str">
        <f>VLOOKUP(C138,'do průběžek'!$A$2:$D$246,4,FALSE)</f>
        <v>ambulantní</v>
      </c>
      <c r="G138" s="90">
        <f>VLOOKUP(C138,'do průběžek'!$H$2:$J$246,2,FALSE)</f>
        <v>7.1</v>
      </c>
      <c r="H138" s="90">
        <f>VLOOKUP(C138,'do průběžek'!$H$2:$J$246,3,FALSE)</f>
        <v>0</v>
      </c>
      <c r="I138" s="91">
        <v>7190750</v>
      </c>
      <c r="J138" s="91">
        <v>5028161</v>
      </c>
      <c r="K138" s="91">
        <v>4801444</v>
      </c>
      <c r="L138" s="91">
        <v>3751000</v>
      </c>
      <c r="M138" s="91">
        <v>1000000</v>
      </c>
      <c r="N138" s="91">
        <v>0</v>
      </c>
      <c r="O138" s="91">
        <v>0</v>
      </c>
      <c r="P138" s="91">
        <v>0</v>
      </c>
      <c r="Q138" s="91">
        <v>0</v>
      </c>
      <c r="R138" s="91">
        <v>0</v>
      </c>
      <c r="S138" s="91">
        <v>50444</v>
      </c>
      <c r="T138" s="91">
        <v>0</v>
      </c>
      <c r="U138" s="91">
        <v>0</v>
      </c>
      <c r="V138" s="91">
        <v>0</v>
      </c>
      <c r="W138" s="91">
        <v>0</v>
      </c>
      <c r="X138" s="91">
        <v>0</v>
      </c>
      <c r="Y138" s="91">
        <v>226717</v>
      </c>
      <c r="Z138" s="91">
        <v>30645</v>
      </c>
      <c r="AA138" s="91">
        <v>0</v>
      </c>
      <c r="AB138" s="91">
        <v>0</v>
      </c>
      <c r="AC138" s="91">
        <v>0</v>
      </c>
      <c r="AD138" s="91">
        <v>0</v>
      </c>
      <c r="AE138" s="91">
        <v>0</v>
      </c>
      <c r="AF138" s="91">
        <v>0</v>
      </c>
      <c r="AG138" s="91">
        <v>196072</v>
      </c>
      <c r="AH138" s="91">
        <v>264390</v>
      </c>
      <c r="AI138" s="91">
        <v>0</v>
      </c>
      <c r="AJ138" s="91">
        <v>0</v>
      </c>
      <c r="AK138" s="91">
        <v>264390</v>
      </c>
      <c r="AL138" s="91">
        <v>0</v>
      </c>
    </row>
    <row r="139" spans="1:38" ht="55.5" hidden="1" x14ac:dyDescent="0.25">
      <c r="A139" s="89" t="s">
        <v>650</v>
      </c>
      <c r="B139" s="90" t="s">
        <v>671</v>
      </c>
      <c r="C139" s="90">
        <v>5563434</v>
      </c>
      <c r="D139" s="90" t="str">
        <f>VLOOKUP(C139,'do průběžek'!$A$2:$D$246,2,FALSE)</f>
        <v>Obecně prospěšná společnost</v>
      </c>
      <c r="E139" s="90" t="str">
        <f>VLOOKUP(C139,'do průběžek'!$A$2:$D$246,3,FALSE)</f>
        <v>§67 - Sociálně terapeutické dílny</v>
      </c>
      <c r="F139" s="90" t="str">
        <f>VLOOKUP(C139,'do průběžek'!$A$2:$D$246,4,FALSE)</f>
        <v>ambulantní</v>
      </c>
      <c r="G139" s="90">
        <f>VLOOKUP(C139,'do průběžek'!$H$2:$J$246,2,FALSE)</f>
        <v>4</v>
      </c>
      <c r="H139" s="90">
        <f>VLOOKUP(C139,'do průběžek'!$H$2:$J$246,3,FALSE)</f>
        <v>0</v>
      </c>
      <c r="I139" s="91">
        <v>4320000</v>
      </c>
      <c r="J139" s="91">
        <v>2456390</v>
      </c>
      <c r="K139" s="91">
        <v>2456390</v>
      </c>
      <c r="L139" s="91">
        <v>1958000</v>
      </c>
      <c r="M139" s="91">
        <v>0</v>
      </c>
      <c r="N139" s="91">
        <v>104000</v>
      </c>
      <c r="O139" s="91">
        <v>0</v>
      </c>
      <c r="P139" s="91">
        <v>0</v>
      </c>
      <c r="Q139" s="91">
        <v>0</v>
      </c>
      <c r="R139" s="91">
        <v>0</v>
      </c>
      <c r="S139" s="91">
        <v>111784</v>
      </c>
      <c r="T139" s="91">
        <v>0</v>
      </c>
      <c r="U139" s="91">
        <v>0</v>
      </c>
      <c r="V139" s="91">
        <v>282606</v>
      </c>
      <c r="W139" s="91">
        <v>0</v>
      </c>
      <c r="X139" s="91">
        <v>0</v>
      </c>
      <c r="Y139" s="91">
        <v>0</v>
      </c>
      <c r="Z139" s="91">
        <v>0</v>
      </c>
      <c r="AA139" s="91">
        <v>0</v>
      </c>
      <c r="AB139" s="91">
        <v>0</v>
      </c>
      <c r="AC139" s="91">
        <v>0</v>
      </c>
      <c r="AD139" s="91">
        <v>0</v>
      </c>
      <c r="AE139" s="91">
        <v>0</v>
      </c>
      <c r="AF139" s="91">
        <v>0</v>
      </c>
      <c r="AG139" s="91">
        <v>0</v>
      </c>
      <c r="AH139" s="91">
        <v>0</v>
      </c>
      <c r="AI139" s="91">
        <v>0</v>
      </c>
      <c r="AJ139" s="91">
        <v>0</v>
      </c>
      <c r="AK139" s="91">
        <v>0</v>
      </c>
      <c r="AL139" s="91">
        <v>0</v>
      </c>
    </row>
    <row r="140" spans="1:38" ht="55.5" hidden="1" x14ac:dyDescent="0.25">
      <c r="A140" s="89" t="s">
        <v>650</v>
      </c>
      <c r="B140" s="90" t="s">
        <v>672</v>
      </c>
      <c r="C140" s="90">
        <v>6265472</v>
      </c>
      <c r="D140" s="90" t="str">
        <f>VLOOKUP(C140,'do průběžek'!$A$2:$D$246,2,FALSE)</f>
        <v>Spolek</v>
      </c>
      <c r="E140" s="90" t="str">
        <f>VLOOKUP(C140,'do průběžek'!$A$2:$D$246,3,FALSE)</f>
        <v>§67 - Sociálně terapeutické dílny</v>
      </c>
      <c r="F140" s="90" t="str">
        <f>VLOOKUP(C140,'do průběžek'!$A$2:$D$246,4,FALSE)</f>
        <v>ambulantní</v>
      </c>
      <c r="G140" s="90">
        <f>VLOOKUP(C140,'do průběžek'!$H$2:$J$246,2,FALSE)</f>
        <v>4</v>
      </c>
      <c r="H140" s="90">
        <f>VLOOKUP(C140,'do průběžek'!$H$2:$J$246,3,FALSE)</f>
        <v>0</v>
      </c>
      <c r="I140" s="91">
        <v>4051127</v>
      </c>
      <c r="J140" s="91">
        <v>2544147</v>
      </c>
      <c r="K140" s="91">
        <v>2544147</v>
      </c>
      <c r="L140" s="91">
        <v>2295147</v>
      </c>
      <c r="M140" s="91">
        <v>0</v>
      </c>
      <c r="N140" s="91">
        <v>104000</v>
      </c>
      <c r="O140" s="91">
        <v>0</v>
      </c>
      <c r="P140" s="91">
        <v>0</v>
      </c>
      <c r="Q140" s="91">
        <v>0</v>
      </c>
      <c r="R140" s="91">
        <v>0</v>
      </c>
      <c r="S140" s="91">
        <v>145000</v>
      </c>
      <c r="T140" s="91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1">
        <v>0</v>
      </c>
      <c r="AA140" s="91">
        <v>0</v>
      </c>
      <c r="AB140" s="91">
        <v>0</v>
      </c>
      <c r="AC140" s="91">
        <v>0</v>
      </c>
      <c r="AD140" s="91">
        <v>0</v>
      </c>
      <c r="AE140" s="91">
        <v>0</v>
      </c>
      <c r="AF140" s="91">
        <v>0</v>
      </c>
      <c r="AG140" s="91">
        <v>0</v>
      </c>
      <c r="AH140" s="91">
        <v>162567</v>
      </c>
      <c r="AI140" s="91">
        <v>0</v>
      </c>
      <c r="AJ140" s="91">
        <v>0</v>
      </c>
      <c r="AK140" s="91">
        <v>162567</v>
      </c>
      <c r="AL140" s="91">
        <v>0</v>
      </c>
    </row>
    <row r="141" spans="1:38" ht="55.5" hidden="1" x14ac:dyDescent="0.25">
      <c r="A141" s="89" t="s">
        <v>650</v>
      </c>
      <c r="B141" s="90" t="s">
        <v>673</v>
      </c>
      <c r="C141" s="90">
        <v>4661168</v>
      </c>
      <c r="D141" s="90" t="str">
        <f>VLOOKUP(C141,'do průběžek'!$A$2:$D$246,2,FALSE)</f>
        <v>Spolek</v>
      </c>
      <c r="E141" s="90" t="str">
        <f>VLOOKUP(C141,'do průběžek'!$A$2:$D$246,3,FALSE)</f>
        <v>§67 - Sociálně terapeutické dílny</v>
      </c>
      <c r="F141" s="90" t="str">
        <f>VLOOKUP(C141,'do průběžek'!$A$2:$D$246,4,FALSE)</f>
        <v>ambulantní</v>
      </c>
      <c r="G141" s="90">
        <f>VLOOKUP(C141,'do průběžek'!$H$2:$J$246,2,FALSE)</f>
        <v>3</v>
      </c>
      <c r="H141" s="90">
        <f>VLOOKUP(C141,'do průběžek'!$H$2:$J$246,3,FALSE)</f>
        <v>0</v>
      </c>
      <c r="I141" s="91">
        <v>3038345</v>
      </c>
      <c r="J141" s="91">
        <v>2344266</v>
      </c>
      <c r="K141" s="91">
        <v>2344266</v>
      </c>
      <c r="L141" s="91">
        <v>2117266</v>
      </c>
      <c r="M141" s="91">
        <v>0</v>
      </c>
      <c r="N141" s="91">
        <v>77000</v>
      </c>
      <c r="O141" s="91">
        <v>0</v>
      </c>
      <c r="P141" s="91">
        <v>0</v>
      </c>
      <c r="Q141" s="91">
        <v>0</v>
      </c>
      <c r="R141" s="91">
        <v>0</v>
      </c>
      <c r="S141" s="91">
        <v>150000</v>
      </c>
      <c r="T141" s="91">
        <v>0</v>
      </c>
      <c r="U141" s="91">
        <v>0</v>
      </c>
      <c r="V141" s="91">
        <v>0</v>
      </c>
      <c r="W141" s="91">
        <v>0</v>
      </c>
      <c r="X141" s="91">
        <v>0</v>
      </c>
      <c r="Y141" s="91">
        <v>0</v>
      </c>
      <c r="Z141" s="91">
        <v>0</v>
      </c>
      <c r="AA141" s="91">
        <v>0</v>
      </c>
      <c r="AB141" s="91">
        <v>0</v>
      </c>
      <c r="AC141" s="91">
        <v>0</v>
      </c>
      <c r="AD141" s="91">
        <v>0</v>
      </c>
      <c r="AE141" s="91">
        <v>0</v>
      </c>
      <c r="AF141" s="91">
        <v>0</v>
      </c>
      <c r="AG141" s="91">
        <v>0</v>
      </c>
      <c r="AH141" s="91">
        <v>74125</v>
      </c>
      <c r="AI141" s="91">
        <v>0</v>
      </c>
      <c r="AJ141" s="91">
        <v>0</v>
      </c>
      <c r="AK141" s="91">
        <v>74125</v>
      </c>
      <c r="AL141" s="91">
        <v>0</v>
      </c>
    </row>
    <row r="142" spans="1:38" ht="55.5" hidden="1" x14ac:dyDescent="0.25">
      <c r="A142" s="89" t="s">
        <v>650</v>
      </c>
      <c r="B142" s="90" t="s">
        <v>674</v>
      </c>
      <c r="C142" s="90">
        <v>6650186</v>
      </c>
      <c r="D142" s="90" t="str">
        <f>VLOOKUP(C142,'do průběžek'!$A$2:$D$246,2,FALSE)</f>
        <v>Ústav</v>
      </c>
      <c r="E142" s="90" t="str">
        <f>VLOOKUP(C142,'do průběžek'!$A$2:$D$246,3,FALSE)</f>
        <v>§67 - Sociálně terapeutické dílny</v>
      </c>
      <c r="F142" s="90" t="str">
        <f>VLOOKUP(C142,'do průběžek'!$A$2:$D$246,4,FALSE)</f>
        <v>ambulantní</v>
      </c>
      <c r="G142" s="90">
        <f>VLOOKUP(C142,'do průběžek'!$H$2:$J$246,2,FALSE)</f>
        <v>3</v>
      </c>
      <c r="H142" s="90">
        <f>VLOOKUP(C142,'do průběžek'!$H$2:$J$246,3,FALSE)</f>
        <v>0</v>
      </c>
      <c r="I142" s="91">
        <v>3038345</v>
      </c>
      <c r="J142" s="91">
        <v>1928561</v>
      </c>
      <c r="K142" s="91">
        <v>1928561</v>
      </c>
      <c r="L142" s="91">
        <v>1693000</v>
      </c>
      <c r="M142" s="91">
        <v>0</v>
      </c>
      <c r="N142" s="91">
        <v>77000</v>
      </c>
      <c r="O142" s="91">
        <v>0</v>
      </c>
      <c r="P142" s="91">
        <v>0</v>
      </c>
      <c r="Q142" s="91">
        <v>0</v>
      </c>
      <c r="R142" s="91">
        <v>0</v>
      </c>
      <c r="S142" s="91">
        <v>158561</v>
      </c>
      <c r="T142" s="91">
        <v>0</v>
      </c>
      <c r="U142" s="91">
        <v>0</v>
      </c>
      <c r="V142" s="91">
        <v>0</v>
      </c>
      <c r="W142" s="91">
        <v>0</v>
      </c>
      <c r="X142" s="91">
        <v>0</v>
      </c>
      <c r="Y142" s="91">
        <v>0</v>
      </c>
      <c r="Z142" s="91">
        <v>0</v>
      </c>
      <c r="AA142" s="91">
        <v>0</v>
      </c>
      <c r="AB142" s="91">
        <v>0</v>
      </c>
      <c r="AC142" s="91">
        <v>0</v>
      </c>
      <c r="AD142" s="91">
        <v>0</v>
      </c>
      <c r="AE142" s="91">
        <v>0</v>
      </c>
      <c r="AF142" s="91">
        <v>0</v>
      </c>
      <c r="AG142" s="91">
        <v>0</v>
      </c>
      <c r="AH142" s="91">
        <v>120633</v>
      </c>
      <c r="AI142" s="91">
        <v>18482</v>
      </c>
      <c r="AJ142" s="91">
        <v>0</v>
      </c>
      <c r="AK142" s="91">
        <v>102151</v>
      </c>
      <c r="AL142" s="91">
        <v>0</v>
      </c>
    </row>
    <row r="143" spans="1:38" ht="55.5" hidden="1" x14ac:dyDescent="0.25">
      <c r="A143" s="89" t="s">
        <v>650</v>
      </c>
      <c r="B143" s="90" t="s">
        <v>675</v>
      </c>
      <c r="C143" s="90">
        <v>5713240</v>
      </c>
      <c r="D143" s="90" t="str">
        <f>VLOOKUP(C143,'do průběžek'!$A$2:$D$246,2,FALSE)</f>
        <v>Obecně prospěšná společnost</v>
      </c>
      <c r="E143" s="90" t="str">
        <f>VLOOKUP(C143,'do průběžek'!$A$2:$D$246,3,FALSE)</f>
        <v>§69 - Terénní programy</v>
      </c>
      <c r="F143" s="90" t="str">
        <f>VLOOKUP(C143,'do průběžek'!$A$2:$D$246,4,FALSE)</f>
        <v>terénní</v>
      </c>
      <c r="G143" s="90">
        <f>VLOOKUP(C143,'do průběžek'!$H$2:$J$246,2,FALSE)</f>
        <v>6</v>
      </c>
      <c r="H143" s="90">
        <f>VLOOKUP(C143,'do průběžek'!$H$2:$J$246,3,FALSE)</f>
        <v>0</v>
      </c>
      <c r="I143" s="91">
        <v>6337332</v>
      </c>
      <c r="J143" s="91">
        <v>2909800</v>
      </c>
      <c r="K143" s="91">
        <v>2909800</v>
      </c>
      <c r="L143" s="91">
        <v>2748000</v>
      </c>
      <c r="M143" s="91">
        <v>0</v>
      </c>
      <c r="N143" s="91">
        <v>130000</v>
      </c>
      <c r="O143" s="91">
        <v>0</v>
      </c>
      <c r="P143" s="91">
        <v>0</v>
      </c>
      <c r="Q143" s="91">
        <v>0</v>
      </c>
      <c r="R143" s="91">
        <v>0</v>
      </c>
      <c r="S143" s="91">
        <v>31800</v>
      </c>
      <c r="T143" s="91">
        <v>0</v>
      </c>
      <c r="U143" s="91">
        <v>0</v>
      </c>
      <c r="V143" s="91">
        <v>0</v>
      </c>
      <c r="W143" s="91">
        <v>0</v>
      </c>
      <c r="X143" s="91">
        <v>0</v>
      </c>
      <c r="Y143" s="91">
        <v>0</v>
      </c>
      <c r="Z143" s="91">
        <v>0</v>
      </c>
      <c r="AA143" s="91">
        <v>0</v>
      </c>
      <c r="AB143" s="91">
        <v>0</v>
      </c>
      <c r="AC143" s="91">
        <v>0</v>
      </c>
      <c r="AD143" s="91">
        <v>0</v>
      </c>
      <c r="AE143" s="91">
        <v>0</v>
      </c>
      <c r="AF143" s="91">
        <v>0</v>
      </c>
      <c r="AG143" s="91">
        <v>0</v>
      </c>
      <c r="AH143" s="91">
        <v>0</v>
      </c>
      <c r="AI143" s="91">
        <v>0</v>
      </c>
      <c r="AJ143" s="91">
        <v>0</v>
      </c>
      <c r="AK143" s="91">
        <v>0</v>
      </c>
      <c r="AL143" s="91">
        <v>0</v>
      </c>
    </row>
    <row r="144" spans="1:38" ht="55.5" hidden="1" x14ac:dyDescent="0.25">
      <c r="A144" s="89" t="s">
        <v>650</v>
      </c>
      <c r="B144" s="90" t="s">
        <v>676</v>
      </c>
      <c r="C144" s="90">
        <v>7555345</v>
      </c>
      <c r="D144" s="90" t="str">
        <f>VLOOKUP(C144,'do průběžek'!$A$2:$D$246,2,FALSE)</f>
        <v>Spolek</v>
      </c>
      <c r="E144" s="90" t="str">
        <f>VLOOKUP(C144,'do průběžek'!$A$2:$D$246,3,FALSE)</f>
        <v>§69 - Terénní programy</v>
      </c>
      <c r="F144" s="90" t="str">
        <f>VLOOKUP(C144,'do průběžek'!$A$2:$D$246,4,FALSE)</f>
        <v>terénní</v>
      </c>
      <c r="G144" s="90">
        <f>VLOOKUP(C144,'do průběžek'!$H$2:$J$246,2,FALSE)</f>
        <v>1.25</v>
      </c>
      <c r="H144" s="90">
        <f>VLOOKUP(C144,'do průběžek'!$H$2:$J$246,3,FALSE)</f>
        <v>0</v>
      </c>
      <c r="I144" s="91">
        <v>1320277</v>
      </c>
      <c r="J144" s="91">
        <v>578000</v>
      </c>
      <c r="K144" s="91">
        <v>578000</v>
      </c>
      <c r="L144" s="91">
        <v>551000</v>
      </c>
      <c r="M144" s="91">
        <v>0</v>
      </c>
      <c r="N144" s="91">
        <v>27000</v>
      </c>
      <c r="O144" s="91">
        <v>0</v>
      </c>
      <c r="P144" s="91">
        <v>0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  <c r="AC144" s="91">
        <v>0</v>
      </c>
      <c r="AD144" s="91">
        <v>0</v>
      </c>
      <c r="AE144" s="91">
        <v>0</v>
      </c>
      <c r="AF144" s="91">
        <v>0</v>
      </c>
      <c r="AG144" s="91">
        <v>0</v>
      </c>
      <c r="AH144" s="91">
        <v>33450</v>
      </c>
      <c r="AI144" s="91">
        <v>0</v>
      </c>
      <c r="AJ144" s="91">
        <v>0</v>
      </c>
      <c r="AK144" s="91">
        <v>33450</v>
      </c>
      <c r="AL144" s="91">
        <v>0</v>
      </c>
    </row>
    <row r="145" spans="1:38" ht="55.5" hidden="1" x14ac:dyDescent="0.25">
      <c r="A145" s="89" t="s">
        <v>650</v>
      </c>
      <c r="B145" s="90" t="s">
        <v>677</v>
      </c>
      <c r="C145" s="90">
        <v>3775974</v>
      </c>
      <c r="D145" s="90" t="str">
        <f>VLOOKUP(C145,'do průběžek'!$A$2:$D$246,2,FALSE)</f>
        <v>Spolek</v>
      </c>
      <c r="E145" s="90" t="str">
        <f>VLOOKUP(C145,'do průběžek'!$A$2:$D$246,3,FALSE)</f>
        <v>§69 - Terénní programy</v>
      </c>
      <c r="F145" s="90" t="str">
        <f>VLOOKUP(C145,'do průběžek'!$A$2:$D$246,4,FALSE)</f>
        <v>terénní</v>
      </c>
      <c r="G145" s="90">
        <f>VLOOKUP(C145,'do průběžek'!$H$2:$J$246,2,FALSE)</f>
        <v>2</v>
      </c>
      <c r="H145" s="90">
        <f>VLOOKUP(C145,'do průběžek'!$H$2:$J$246,3,FALSE)</f>
        <v>0</v>
      </c>
      <c r="I145" s="91">
        <v>2112443.9300000002</v>
      </c>
      <c r="J145" s="91">
        <v>986272</v>
      </c>
      <c r="K145" s="91">
        <v>986272</v>
      </c>
      <c r="L145" s="91">
        <v>856000</v>
      </c>
      <c r="M145" s="91">
        <v>0</v>
      </c>
      <c r="N145" s="91">
        <v>43000</v>
      </c>
      <c r="O145" s="91">
        <v>0</v>
      </c>
      <c r="P145" s="91">
        <v>0</v>
      </c>
      <c r="Q145" s="91">
        <v>0</v>
      </c>
      <c r="R145" s="91">
        <v>0</v>
      </c>
      <c r="S145" s="91">
        <v>87272</v>
      </c>
      <c r="T145" s="91">
        <v>0</v>
      </c>
      <c r="U145" s="91">
        <v>0</v>
      </c>
      <c r="V145" s="91">
        <v>0</v>
      </c>
      <c r="W145" s="91">
        <v>0</v>
      </c>
      <c r="X145" s="91">
        <v>0</v>
      </c>
      <c r="Y145" s="91">
        <v>0</v>
      </c>
      <c r="Z145" s="91">
        <v>0</v>
      </c>
      <c r="AA145" s="91">
        <v>0</v>
      </c>
      <c r="AB145" s="91">
        <v>0</v>
      </c>
      <c r="AC145" s="91">
        <v>0</v>
      </c>
      <c r="AD145" s="91">
        <v>0</v>
      </c>
      <c r="AE145" s="91">
        <v>0</v>
      </c>
      <c r="AF145" s="91">
        <v>0</v>
      </c>
      <c r="AG145" s="91">
        <v>0</v>
      </c>
      <c r="AH145" s="91">
        <v>67186</v>
      </c>
      <c r="AI145" s="91">
        <v>41222</v>
      </c>
      <c r="AJ145" s="91">
        <v>0</v>
      </c>
      <c r="AK145" s="91">
        <v>25964</v>
      </c>
      <c r="AL145" s="91">
        <v>0</v>
      </c>
    </row>
    <row r="146" spans="1:38" ht="55.5" hidden="1" x14ac:dyDescent="0.25">
      <c r="A146" s="89" t="s">
        <v>650</v>
      </c>
      <c r="B146" s="90" t="s">
        <v>678</v>
      </c>
      <c r="C146" s="90">
        <v>8306216</v>
      </c>
      <c r="D146" s="90" t="str">
        <f>VLOOKUP(C146,'do průběžek'!$A$2:$D$246,2,FALSE)</f>
        <v>Spolek</v>
      </c>
      <c r="E146" s="90" t="str">
        <f>VLOOKUP(C146,'do průběžek'!$A$2:$D$246,3,FALSE)</f>
        <v>§69 - Terénní programy</v>
      </c>
      <c r="F146" s="90" t="str">
        <f>VLOOKUP(C146,'do průběžek'!$A$2:$D$246,4,FALSE)</f>
        <v>terénní</v>
      </c>
      <c r="G146" s="90">
        <f>VLOOKUP(C146,'do průběžek'!$H$2:$J$246,2,FALSE)</f>
        <v>10</v>
      </c>
      <c r="H146" s="90">
        <f>VLOOKUP(C146,'do průběžek'!$H$2:$J$246,3,FALSE)</f>
        <v>0</v>
      </c>
      <c r="I146" s="91">
        <v>10562219.67</v>
      </c>
      <c r="J146" s="91">
        <v>6766460</v>
      </c>
      <c r="K146" s="91">
        <v>6766460</v>
      </c>
      <c r="L146" s="91">
        <v>4049000</v>
      </c>
      <c r="M146" s="91">
        <v>0</v>
      </c>
      <c r="N146" s="91">
        <v>792000</v>
      </c>
      <c r="O146" s="91">
        <v>0</v>
      </c>
      <c r="P146" s="91">
        <v>0</v>
      </c>
      <c r="Q146" s="91">
        <v>0</v>
      </c>
      <c r="R146" s="91">
        <v>0</v>
      </c>
      <c r="S146" s="91">
        <v>424460</v>
      </c>
      <c r="T146" s="91">
        <v>0</v>
      </c>
      <c r="U146" s="91">
        <v>0</v>
      </c>
      <c r="V146" s="91">
        <v>0</v>
      </c>
      <c r="W146" s="91">
        <v>0</v>
      </c>
      <c r="X146" s="91">
        <v>1501000</v>
      </c>
      <c r="Y146" s="91">
        <v>0</v>
      </c>
      <c r="Z146" s="91">
        <v>0</v>
      </c>
      <c r="AA146" s="91">
        <v>0</v>
      </c>
      <c r="AB146" s="91">
        <v>0</v>
      </c>
      <c r="AC146" s="91">
        <v>0</v>
      </c>
      <c r="AD146" s="91">
        <v>0</v>
      </c>
      <c r="AE146" s="91">
        <v>0</v>
      </c>
      <c r="AF146" s="91">
        <v>0</v>
      </c>
      <c r="AG146" s="91">
        <v>0</v>
      </c>
      <c r="AH146" s="91">
        <v>503544</v>
      </c>
      <c r="AI146" s="91">
        <v>156888</v>
      </c>
      <c r="AJ146" s="91">
        <v>0</v>
      </c>
      <c r="AK146" s="91">
        <v>346656</v>
      </c>
      <c r="AL146" s="91">
        <v>0</v>
      </c>
    </row>
    <row r="147" spans="1:38" ht="55.5" hidden="1" x14ac:dyDescent="0.25">
      <c r="A147" s="89" t="s">
        <v>650</v>
      </c>
      <c r="B147" s="90" t="s">
        <v>679</v>
      </c>
      <c r="C147" s="90">
        <v>1420566</v>
      </c>
      <c r="D147" s="90" t="str">
        <f>VLOOKUP(C147,'do průběžek'!$A$2:$D$246,2,FALSE)</f>
        <v>Spolek</v>
      </c>
      <c r="E147" s="90" t="str">
        <f>VLOOKUP(C147,'do průběžek'!$A$2:$D$246,3,FALSE)</f>
        <v>§69 - Terénní programy</v>
      </c>
      <c r="F147" s="90" t="str">
        <f>VLOOKUP(C147,'do průběžek'!$A$2:$D$246,4,FALSE)</f>
        <v>terénní</v>
      </c>
      <c r="G147" s="90">
        <f>VLOOKUP(C147,'do průběžek'!$H$2:$J$246,2,FALSE)</f>
        <v>3</v>
      </c>
      <c r="H147" s="90">
        <f>VLOOKUP(C147,'do průběžek'!$H$2:$J$246,3,FALSE)</f>
        <v>0</v>
      </c>
      <c r="I147" s="91">
        <v>3168666</v>
      </c>
      <c r="J147" s="91">
        <v>2040755</v>
      </c>
      <c r="K147" s="91">
        <v>2039000</v>
      </c>
      <c r="L147" s="91">
        <v>1590000</v>
      </c>
      <c r="M147" s="91">
        <v>0</v>
      </c>
      <c r="N147" s="91">
        <v>64000</v>
      </c>
      <c r="O147" s="91">
        <v>0</v>
      </c>
      <c r="P147" s="91">
        <v>0</v>
      </c>
      <c r="Q147" s="91">
        <v>0</v>
      </c>
      <c r="R147" s="91">
        <v>0</v>
      </c>
      <c r="S147" s="91">
        <v>385000</v>
      </c>
      <c r="T147" s="91">
        <v>0</v>
      </c>
      <c r="U147" s="91">
        <v>0</v>
      </c>
      <c r="V147" s="91">
        <v>0</v>
      </c>
      <c r="W147" s="91">
        <v>0</v>
      </c>
      <c r="X147" s="91">
        <v>0</v>
      </c>
      <c r="Y147" s="91">
        <v>1755</v>
      </c>
      <c r="Z147" s="91">
        <v>0</v>
      </c>
      <c r="AA147" s="91">
        <v>0</v>
      </c>
      <c r="AB147" s="91">
        <v>0</v>
      </c>
      <c r="AC147" s="91">
        <v>0</v>
      </c>
      <c r="AD147" s="91">
        <v>1100</v>
      </c>
      <c r="AE147" s="91">
        <v>0</v>
      </c>
      <c r="AF147" s="91">
        <v>0</v>
      </c>
      <c r="AG147" s="91">
        <v>655</v>
      </c>
      <c r="AH147" s="91">
        <v>102741</v>
      </c>
      <c r="AI147" s="91">
        <v>0</v>
      </c>
      <c r="AJ147" s="91">
        <v>0</v>
      </c>
      <c r="AK147" s="91">
        <v>102741</v>
      </c>
      <c r="AL147" s="91">
        <v>0</v>
      </c>
    </row>
    <row r="148" spans="1:38" ht="55.5" hidden="1" x14ac:dyDescent="0.25">
      <c r="A148" s="89" t="s">
        <v>650</v>
      </c>
      <c r="B148" s="90" t="s">
        <v>680</v>
      </c>
      <c r="C148" s="90">
        <v>1775589</v>
      </c>
      <c r="D148" s="90" t="str">
        <f>VLOOKUP(C148,'do průběžek'!$A$2:$D$246,2,FALSE)</f>
        <v>Spolek</v>
      </c>
      <c r="E148" s="90" t="str">
        <f>VLOOKUP(C148,'do průběžek'!$A$2:$D$246,3,FALSE)</f>
        <v>§69 - Terénní programy</v>
      </c>
      <c r="F148" s="90" t="str">
        <f>VLOOKUP(C148,'do průběžek'!$A$2:$D$246,4,FALSE)</f>
        <v>terénní</v>
      </c>
      <c r="G148" s="90">
        <f>VLOOKUP(C148,'do průběžek'!$H$2:$J$246,2,FALSE)</f>
        <v>6.1</v>
      </c>
      <c r="H148" s="90">
        <f>VLOOKUP(C148,'do průběžek'!$H$2:$J$246,3,FALSE)</f>
        <v>0</v>
      </c>
      <c r="I148" s="91">
        <v>6442954</v>
      </c>
      <c r="J148" s="91">
        <v>3145634.96</v>
      </c>
      <c r="K148" s="91">
        <v>3144000</v>
      </c>
      <c r="L148" s="91">
        <v>2283000</v>
      </c>
      <c r="M148" s="91">
        <v>0</v>
      </c>
      <c r="N148" s="91">
        <v>130000</v>
      </c>
      <c r="O148" s="91">
        <v>0</v>
      </c>
      <c r="P148" s="91">
        <v>0</v>
      </c>
      <c r="Q148" s="91">
        <v>0</v>
      </c>
      <c r="R148" s="91">
        <v>0</v>
      </c>
      <c r="S148" s="91">
        <v>731000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1634.96</v>
      </c>
      <c r="Z148" s="91">
        <v>0</v>
      </c>
      <c r="AA148" s="91">
        <v>0</v>
      </c>
      <c r="AB148" s="91">
        <v>0</v>
      </c>
      <c r="AC148" s="91">
        <v>0</v>
      </c>
      <c r="AD148" s="91">
        <v>0</v>
      </c>
      <c r="AE148" s="91">
        <v>0</v>
      </c>
      <c r="AF148" s="91">
        <v>0</v>
      </c>
      <c r="AG148" s="91">
        <v>1634.96</v>
      </c>
      <c r="AH148" s="91">
        <v>210789</v>
      </c>
      <c r="AI148" s="91">
        <v>0</v>
      </c>
      <c r="AJ148" s="91">
        <v>0</v>
      </c>
      <c r="AK148" s="91">
        <v>210789</v>
      </c>
      <c r="AL148" s="91">
        <v>0</v>
      </c>
    </row>
    <row r="149" spans="1:38" ht="55.5" hidden="1" x14ac:dyDescent="0.25">
      <c r="A149" s="89" t="s">
        <v>650</v>
      </c>
      <c r="B149" s="90" t="s">
        <v>681</v>
      </c>
      <c r="C149" s="90">
        <v>9860755</v>
      </c>
      <c r="D149" s="90" t="str">
        <f>VLOOKUP(C149,'do průběžek'!$A$2:$D$246,2,FALSE)</f>
        <v>Spolek</v>
      </c>
      <c r="E149" s="90" t="str">
        <f>VLOOKUP(C149,'do průběžek'!$A$2:$D$246,3,FALSE)</f>
        <v>§69 - Terénní programy</v>
      </c>
      <c r="F149" s="90" t="str">
        <f>VLOOKUP(C149,'do průběžek'!$A$2:$D$246,4,FALSE)</f>
        <v>terénní</v>
      </c>
      <c r="G149" s="90">
        <f>VLOOKUP(C149,'do průběžek'!$H$2:$J$246,2,FALSE)</f>
        <v>1</v>
      </c>
      <c r="H149" s="90">
        <f>VLOOKUP(C149,'do průběžek'!$H$2:$J$246,3,FALSE)</f>
        <v>0</v>
      </c>
      <c r="I149" s="91">
        <v>1056222</v>
      </c>
      <c r="J149" s="91">
        <v>618146</v>
      </c>
      <c r="K149" s="91">
        <v>615000</v>
      </c>
      <c r="L149" s="91">
        <v>489000</v>
      </c>
      <c r="M149" s="91">
        <v>0</v>
      </c>
      <c r="N149" s="91">
        <v>21000</v>
      </c>
      <c r="O149" s="91">
        <v>0</v>
      </c>
      <c r="P149" s="91">
        <v>0</v>
      </c>
      <c r="Q149" s="91">
        <v>0</v>
      </c>
      <c r="R149" s="91">
        <v>0</v>
      </c>
      <c r="S149" s="91">
        <v>105000</v>
      </c>
      <c r="T149" s="91">
        <v>0</v>
      </c>
      <c r="U149" s="91">
        <v>0</v>
      </c>
      <c r="V149" s="91">
        <v>0</v>
      </c>
      <c r="W149" s="91">
        <v>0</v>
      </c>
      <c r="X149" s="91">
        <v>0</v>
      </c>
      <c r="Y149" s="91">
        <v>3146</v>
      </c>
      <c r="Z149" s="91">
        <v>0</v>
      </c>
      <c r="AA149" s="91">
        <v>0</v>
      </c>
      <c r="AB149" s="91">
        <v>0</v>
      </c>
      <c r="AC149" s="91">
        <v>0</v>
      </c>
      <c r="AD149" s="91">
        <v>1900</v>
      </c>
      <c r="AE149" s="91">
        <v>0</v>
      </c>
      <c r="AF149" s="91">
        <v>0</v>
      </c>
      <c r="AG149" s="91">
        <v>1246</v>
      </c>
      <c r="AH149" s="91">
        <v>36834</v>
      </c>
      <c r="AI149" s="91">
        <v>0</v>
      </c>
      <c r="AJ149" s="91">
        <v>0</v>
      </c>
      <c r="AK149" s="91">
        <v>36834</v>
      </c>
      <c r="AL149" s="91">
        <v>0</v>
      </c>
    </row>
    <row r="150" spans="1:38" ht="55.5" hidden="1" x14ac:dyDescent="0.25">
      <c r="A150" s="89" t="s">
        <v>650</v>
      </c>
      <c r="B150" s="90" t="s">
        <v>682</v>
      </c>
      <c r="C150" s="90">
        <v>5063729</v>
      </c>
      <c r="D150" s="90" t="str">
        <f>VLOOKUP(C150,'do průběžek'!$A$2:$D$246,2,FALSE)</f>
        <v>Spolek</v>
      </c>
      <c r="E150" s="90" t="str">
        <f>VLOOKUP(C150,'do průběžek'!$A$2:$D$246,3,FALSE)</f>
        <v>§69 - Terénní programy</v>
      </c>
      <c r="F150" s="90" t="str">
        <f>VLOOKUP(C150,'do průběžek'!$A$2:$D$246,4,FALSE)</f>
        <v>terénní</v>
      </c>
      <c r="G150" s="90">
        <f>VLOOKUP(C150,'do průběžek'!$H$2:$J$246,2,FALSE)</f>
        <v>1.2</v>
      </c>
      <c r="H150" s="90">
        <f>VLOOKUP(C150,'do průběžek'!$H$2:$J$246,3,FALSE)</f>
        <v>0</v>
      </c>
      <c r="I150" s="91">
        <v>1267466.3600000001</v>
      </c>
      <c r="J150" s="91">
        <v>695876</v>
      </c>
      <c r="K150" s="91">
        <v>695876</v>
      </c>
      <c r="L150" s="91">
        <v>602000</v>
      </c>
      <c r="M150" s="91">
        <v>0</v>
      </c>
      <c r="N150" s="91">
        <v>26000</v>
      </c>
      <c r="O150" s="91">
        <v>0</v>
      </c>
      <c r="P150" s="91">
        <v>0</v>
      </c>
      <c r="Q150" s="91">
        <v>0</v>
      </c>
      <c r="R150" s="91">
        <v>0</v>
      </c>
      <c r="S150" s="91">
        <v>67876</v>
      </c>
      <c r="T150" s="91">
        <v>0</v>
      </c>
      <c r="U150" s="91">
        <v>0</v>
      </c>
      <c r="V150" s="91">
        <v>0</v>
      </c>
      <c r="W150" s="91">
        <v>0</v>
      </c>
      <c r="X150" s="91">
        <v>0</v>
      </c>
      <c r="Y150" s="91">
        <v>0</v>
      </c>
      <c r="Z150" s="91">
        <v>0</v>
      </c>
      <c r="AA150" s="91">
        <v>0</v>
      </c>
      <c r="AB150" s="91">
        <v>0</v>
      </c>
      <c r="AC150" s="91">
        <v>0</v>
      </c>
      <c r="AD150" s="91">
        <v>0</v>
      </c>
      <c r="AE150" s="91">
        <v>0</v>
      </c>
      <c r="AF150" s="91">
        <v>0</v>
      </c>
      <c r="AG150" s="91">
        <v>0</v>
      </c>
      <c r="AH150" s="91">
        <v>17950</v>
      </c>
      <c r="AI150" s="91">
        <v>6283</v>
      </c>
      <c r="AJ150" s="91">
        <v>0</v>
      </c>
      <c r="AK150" s="91">
        <v>11667</v>
      </c>
      <c r="AL150" s="91">
        <v>0</v>
      </c>
    </row>
    <row r="151" spans="1:38" ht="55.5" hidden="1" x14ac:dyDescent="0.25">
      <c r="A151" s="89" t="s">
        <v>650</v>
      </c>
      <c r="B151" s="90" t="s">
        <v>683</v>
      </c>
      <c r="C151" s="90">
        <v>1161877</v>
      </c>
      <c r="D151" s="90" t="str">
        <f>VLOOKUP(C151,'do průběžek'!$A$2:$D$246,2,FALSE)</f>
        <v>Obecně prospěšná společnost</v>
      </c>
      <c r="E151" s="90" t="str">
        <f>VLOOKUP(C151,'do průběžek'!$A$2:$D$246,3,FALSE)</f>
        <v>§69 - Terénní programy</v>
      </c>
      <c r="F151" s="90" t="str">
        <f>VLOOKUP(C151,'do průběžek'!$A$2:$D$246,4,FALSE)</f>
        <v>terénní</v>
      </c>
      <c r="G151" s="90">
        <f>VLOOKUP(C151,'do průběžek'!$H$2:$J$246,2,FALSE)</f>
        <v>9.6</v>
      </c>
      <c r="H151" s="90">
        <f>VLOOKUP(C151,'do průběžek'!$H$2:$J$246,3,FALSE)</f>
        <v>0</v>
      </c>
      <c r="I151" s="91">
        <v>10139731</v>
      </c>
      <c r="J151" s="91">
        <v>5475659</v>
      </c>
      <c r="K151" s="91">
        <v>5475659</v>
      </c>
      <c r="L151" s="91">
        <v>3886000</v>
      </c>
      <c r="M151" s="91">
        <v>0</v>
      </c>
      <c r="N151" s="91">
        <v>205000</v>
      </c>
      <c r="O151" s="91">
        <v>0</v>
      </c>
      <c r="P151" s="91">
        <v>0</v>
      </c>
      <c r="Q151" s="91">
        <v>0</v>
      </c>
      <c r="R151" s="91">
        <v>0</v>
      </c>
      <c r="S151" s="91">
        <v>198609</v>
      </c>
      <c r="T151" s="91">
        <v>0</v>
      </c>
      <c r="U151" s="91">
        <v>1186050</v>
      </c>
      <c r="V151" s="91">
        <v>0</v>
      </c>
      <c r="W151" s="91">
        <v>0</v>
      </c>
      <c r="X151" s="91">
        <v>0</v>
      </c>
      <c r="Y151" s="91">
        <v>0</v>
      </c>
      <c r="Z151" s="91">
        <v>0</v>
      </c>
      <c r="AA151" s="91">
        <v>0</v>
      </c>
      <c r="AB151" s="91">
        <v>0</v>
      </c>
      <c r="AC151" s="91">
        <v>0</v>
      </c>
      <c r="AD151" s="91">
        <v>0</v>
      </c>
      <c r="AE151" s="91">
        <v>0</v>
      </c>
      <c r="AF151" s="91">
        <v>0</v>
      </c>
      <c r="AG151" s="91">
        <v>0</v>
      </c>
      <c r="AH151" s="91">
        <v>1261342</v>
      </c>
      <c r="AI151" s="91">
        <v>176342</v>
      </c>
      <c r="AJ151" s="91">
        <v>1085000</v>
      </c>
      <c r="AK151" s="91">
        <v>0</v>
      </c>
      <c r="AL151" s="91">
        <v>0</v>
      </c>
    </row>
    <row r="152" spans="1:38" ht="55.5" hidden="1" x14ac:dyDescent="0.25">
      <c r="A152" s="89" t="s">
        <v>650</v>
      </c>
      <c r="B152" s="90" t="s">
        <v>684</v>
      </c>
      <c r="C152" s="90">
        <v>4441304</v>
      </c>
      <c r="D152" s="90" t="str">
        <f>VLOOKUP(C152,'do průběžek'!$A$2:$D$246,2,FALSE)</f>
        <v>Spolek</v>
      </c>
      <c r="E152" s="90" t="str">
        <f>VLOOKUP(C152,'do průběžek'!$A$2:$D$246,3,FALSE)</f>
        <v>§69 - Terénní programy</v>
      </c>
      <c r="F152" s="90" t="str">
        <f>VLOOKUP(C152,'do průběžek'!$A$2:$D$246,4,FALSE)</f>
        <v>terénní</v>
      </c>
      <c r="G152" s="90">
        <f>VLOOKUP(C152,'do průběžek'!$H$2:$J$246,2,FALSE)</f>
        <v>0.6</v>
      </c>
      <c r="H152" s="90">
        <f>VLOOKUP(C152,'do průběžek'!$H$2:$J$246,3,FALSE)</f>
        <v>0</v>
      </c>
      <c r="I152" s="91">
        <v>0</v>
      </c>
      <c r="J152" s="91">
        <v>346000</v>
      </c>
      <c r="K152" s="91">
        <v>346000</v>
      </c>
      <c r="L152" s="91">
        <v>0</v>
      </c>
      <c r="M152" s="91">
        <v>0</v>
      </c>
      <c r="N152" s="91">
        <v>0</v>
      </c>
      <c r="O152" s="91">
        <v>0</v>
      </c>
      <c r="P152" s="91">
        <v>0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346000</v>
      </c>
      <c r="Y152" s="91">
        <v>0</v>
      </c>
      <c r="Z152" s="91">
        <v>0</v>
      </c>
      <c r="AA152" s="91">
        <v>0</v>
      </c>
      <c r="AB152" s="91">
        <v>0</v>
      </c>
      <c r="AC152" s="91">
        <v>0</v>
      </c>
      <c r="AD152" s="91">
        <v>0</v>
      </c>
      <c r="AE152" s="91">
        <v>0</v>
      </c>
      <c r="AF152" s="91">
        <v>0</v>
      </c>
      <c r="AG152" s="91">
        <v>0</v>
      </c>
      <c r="AH152" s="91">
        <v>0</v>
      </c>
      <c r="AI152" s="91">
        <v>0</v>
      </c>
      <c r="AJ152" s="91">
        <v>0</v>
      </c>
      <c r="AK152" s="91">
        <v>0</v>
      </c>
      <c r="AL152" s="91">
        <v>0</v>
      </c>
    </row>
    <row r="153" spans="1:38" ht="55.5" hidden="1" x14ac:dyDescent="0.25">
      <c r="A153" s="89" t="s">
        <v>650</v>
      </c>
      <c r="B153" s="90" t="s">
        <v>685</v>
      </c>
      <c r="C153" s="90">
        <v>7890129</v>
      </c>
      <c r="D153" s="90" t="str">
        <f>VLOOKUP(C153,'do průběžek'!$A$2:$D$246,2,FALSE)</f>
        <v>Pobočný spolek</v>
      </c>
      <c r="E153" s="90" t="str">
        <f>VLOOKUP(C153,'do průběžek'!$A$2:$D$246,3,FALSE)</f>
        <v>§70 - Sociální rehabilitace</v>
      </c>
      <c r="F153" s="90" t="str">
        <f>VLOOKUP(C153,'do průběžek'!$A$2:$D$246,4,FALSE)</f>
        <v>terénní</v>
      </c>
      <c r="G153" s="90">
        <f>VLOOKUP(C153,'do průběžek'!$H$2:$J$246,2,FALSE)</f>
        <v>1.6</v>
      </c>
      <c r="H153" s="90">
        <f>VLOOKUP(C153,'do průběžek'!$H$2:$J$246,3,FALSE)</f>
        <v>0</v>
      </c>
      <c r="I153" s="91">
        <v>1626632.47</v>
      </c>
      <c r="J153" s="91">
        <v>885000</v>
      </c>
      <c r="K153" s="91">
        <v>885000</v>
      </c>
      <c r="L153" s="91">
        <v>885000</v>
      </c>
      <c r="M153" s="91">
        <v>0</v>
      </c>
      <c r="N153" s="91">
        <v>0</v>
      </c>
      <c r="O153" s="91">
        <v>0</v>
      </c>
      <c r="P153" s="91">
        <v>0</v>
      </c>
      <c r="Q153" s="91">
        <v>0</v>
      </c>
      <c r="R153" s="91">
        <v>0</v>
      </c>
      <c r="S153" s="91">
        <v>0</v>
      </c>
      <c r="T153" s="91">
        <v>0</v>
      </c>
      <c r="U153" s="91">
        <v>0</v>
      </c>
      <c r="V153" s="91">
        <v>0</v>
      </c>
      <c r="W153" s="91">
        <v>0</v>
      </c>
      <c r="X153" s="91">
        <v>0</v>
      </c>
      <c r="Y153" s="91">
        <v>0</v>
      </c>
      <c r="Z153" s="91">
        <v>0</v>
      </c>
      <c r="AA153" s="91">
        <v>0</v>
      </c>
      <c r="AB153" s="91">
        <v>0</v>
      </c>
      <c r="AC153" s="91">
        <v>0</v>
      </c>
      <c r="AD153" s="91">
        <v>0</v>
      </c>
      <c r="AE153" s="91">
        <v>0</v>
      </c>
      <c r="AF153" s="91">
        <v>0</v>
      </c>
      <c r="AG153" s="91">
        <v>0</v>
      </c>
      <c r="AH153" s="91">
        <v>0</v>
      </c>
      <c r="AI153" s="91">
        <v>0</v>
      </c>
      <c r="AJ153" s="91">
        <v>0</v>
      </c>
      <c r="AK153" s="91">
        <v>0</v>
      </c>
      <c r="AL153" s="91">
        <v>0</v>
      </c>
    </row>
    <row r="154" spans="1:38" ht="55.5" hidden="1" x14ac:dyDescent="0.25">
      <c r="A154" s="89" t="s">
        <v>650</v>
      </c>
      <c r="B154" s="90" t="s">
        <v>686</v>
      </c>
      <c r="C154" s="90">
        <v>2527518</v>
      </c>
      <c r="D154" s="90" t="str">
        <f>VLOOKUP(C154,'do průběžek'!$A$2:$D$246,2,FALSE)</f>
        <v>Obecně prospěšná společnost</v>
      </c>
      <c r="E154" s="90" t="str">
        <f>VLOOKUP(C154,'do průběžek'!$A$2:$D$246,3,FALSE)</f>
        <v>§70 - Sociální rehabilitace</v>
      </c>
      <c r="F154" s="90" t="str">
        <f>VLOOKUP(C154,'do průběžek'!$A$2:$D$246,4,FALSE)</f>
        <v>ambulantní a terénní</v>
      </c>
      <c r="G154" s="90">
        <f>VLOOKUP(C154,'do průběžek'!$H$2:$J$246,2,FALSE)</f>
        <v>9.85</v>
      </c>
      <c r="H154" s="90">
        <f>VLOOKUP(C154,'do průběžek'!$H$2:$J$246,3,FALSE)</f>
        <v>0</v>
      </c>
      <c r="I154" s="91">
        <v>10013956</v>
      </c>
      <c r="J154" s="91">
        <v>6211647</v>
      </c>
      <c r="K154" s="91">
        <v>6141647</v>
      </c>
      <c r="L154" s="91">
        <v>5587000</v>
      </c>
      <c r="M154" s="91">
        <v>0</v>
      </c>
      <c r="N154" s="91">
        <v>254000</v>
      </c>
      <c r="O154" s="91">
        <v>0</v>
      </c>
      <c r="P154" s="91">
        <v>0</v>
      </c>
      <c r="Q154" s="91">
        <v>0</v>
      </c>
      <c r="R154" s="91">
        <v>0</v>
      </c>
      <c r="S154" s="91">
        <v>300647</v>
      </c>
      <c r="T154" s="91">
        <v>0</v>
      </c>
      <c r="U154" s="91">
        <v>0</v>
      </c>
      <c r="V154" s="91">
        <v>0</v>
      </c>
      <c r="W154" s="91">
        <v>0</v>
      </c>
      <c r="X154" s="91">
        <v>0</v>
      </c>
      <c r="Y154" s="91">
        <v>70000</v>
      </c>
      <c r="Z154" s="91">
        <v>0</v>
      </c>
      <c r="AA154" s="91">
        <v>0</v>
      </c>
      <c r="AB154" s="91">
        <v>0</v>
      </c>
      <c r="AC154" s="91">
        <v>0</v>
      </c>
      <c r="AD154" s="91">
        <v>70000</v>
      </c>
      <c r="AE154" s="91">
        <v>0</v>
      </c>
      <c r="AF154" s="91">
        <v>0</v>
      </c>
      <c r="AG154" s="91">
        <v>0</v>
      </c>
      <c r="AH154" s="91">
        <v>306632</v>
      </c>
      <c r="AI154" s="91">
        <v>32341</v>
      </c>
      <c r="AJ154" s="91">
        <v>0</v>
      </c>
      <c r="AK154" s="91">
        <v>274291</v>
      </c>
      <c r="AL154" s="91">
        <v>0</v>
      </c>
    </row>
    <row r="155" spans="1:38" ht="55.5" hidden="1" x14ac:dyDescent="0.25">
      <c r="A155" s="89" t="s">
        <v>650</v>
      </c>
      <c r="B155" s="90" t="s">
        <v>687</v>
      </c>
      <c r="C155" s="90">
        <v>4385424</v>
      </c>
      <c r="D155" s="90" t="str">
        <f>VLOOKUP(C155,'do průběžek'!$A$2:$D$246,2,FALSE)</f>
        <v>Obecně prospěšná společnost</v>
      </c>
      <c r="E155" s="90" t="str">
        <f>VLOOKUP(C155,'do průběžek'!$A$2:$D$246,3,FALSE)</f>
        <v>§70 - Sociální rehabilitace</v>
      </c>
      <c r="F155" s="90" t="str">
        <f>VLOOKUP(C155,'do průběžek'!$A$2:$D$246,4,FALSE)</f>
        <v>ambulantní</v>
      </c>
      <c r="G155" s="90">
        <f>VLOOKUP(C155,'do průběžek'!$H$2:$J$246,2,FALSE)</f>
        <v>3.1</v>
      </c>
      <c r="H155" s="90">
        <f>VLOOKUP(C155,'do průběžek'!$H$2:$J$246,3,FALSE)</f>
        <v>0</v>
      </c>
      <c r="I155" s="91">
        <v>3151600.42</v>
      </c>
      <c r="J155" s="91">
        <v>2294000</v>
      </c>
      <c r="K155" s="91">
        <v>2294000</v>
      </c>
      <c r="L155" s="91">
        <v>0</v>
      </c>
      <c r="M155" s="91">
        <v>0</v>
      </c>
      <c r="N155" s="91">
        <v>66000</v>
      </c>
      <c r="O155" s="91">
        <v>0</v>
      </c>
      <c r="P155" s="91">
        <v>0</v>
      </c>
      <c r="Q155" s="91">
        <v>0</v>
      </c>
      <c r="R155" s="91">
        <v>0</v>
      </c>
      <c r="S155" s="91">
        <v>176663</v>
      </c>
      <c r="T155" s="91">
        <v>0</v>
      </c>
      <c r="U155" s="91">
        <v>0</v>
      </c>
      <c r="V155" s="91">
        <v>0</v>
      </c>
      <c r="W155" s="91">
        <v>0</v>
      </c>
      <c r="X155" s="91">
        <v>2051337</v>
      </c>
      <c r="Y155" s="91">
        <v>0</v>
      </c>
      <c r="Z155" s="91">
        <v>0</v>
      </c>
      <c r="AA155" s="91">
        <v>0</v>
      </c>
      <c r="AB155" s="91">
        <v>0</v>
      </c>
      <c r="AC155" s="91">
        <v>0</v>
      </c>
      <c r="AD155" s="91">
        <v>0</v>
      </c>
      <c r="AE155" s="91">
        <v>0</v>
      </c>
      <c r="AF155" s="91">
        <v>0</v>
      </c>
      <c r="AG155" s="91">
        <v>0</v>
      </c>
      <c r="AH155" s="91">
        <v>0</v>
      </c>
      <c r="AI155" s="91">
        <v>0</v>
      </c>
      <c r="AJ155" s="91">
        <v>0</v>
      </c>
      <c r="AK155" s="91">
        <v>0</v>
      </c>
      <c r="AL155" s="91">
        <v>0</v>
      </c>
    </row>
    <row r="156" spans="1:38" ht="55.5" hidden="1" x14ac:dyDescent="0.25">
      <c r="A156" s="89" t="s">
        <v>650</v>
      </c>
      <c r="B156" s="90" t="s">
        <v>688</v>
      </c>
      <c r="C156" s="90">
        <v>8340162</v>
      </c>
      <c r="D156" s="90" t="str">
        <f>VLOOKUP(C156,'do průběžek'!$A$2:$D$246,2,FALSE)</f>
        <v>Obecně prospěšná společnost</v>
      </c>
      <c r="E156" s="90" t="str">
        <f>VLOOKUP(C156,'do průběžek'!$A$2:$D$246,3,FALSE)</f>
        <v>§70 - Sociální rehabilitace</v>
      </c>
      <c r="F156" s="90" t="str">
        <f>VLOOKUP(C156,'do průběžek'!$A$2:$D$246,4,FALSE)</f>
        <v>ambulantní a terénní</v>
      </c>
      <c r="G156" s="90">
        <f>VLOOKUP(C156,'do průběžek'!$H$2:$J$246,2,FALSE)</f>
        <v>2</v>
      </c>
      <c r="H156" s="90">
        <f>VLOOKUP(C156,'do průběžek'!$H$2:$J$246,3,FALSE)</f>
        <v>0</v>
      </c>
      <c r="I156" s="91">
        <v>2033290.59</v>
      </c>
      <c r="J156" s="91">
        <v>1024108</v>
      </c>
      <c r="K156" s="91">
        <v>911000</v>
      </c>
      <c r="L156" s="91">
        <v>911000</v>
      </c>
      <c r="M156" s="91">
        <v>0</v>
      </c>
      <c r="N156" s="91">
        <v>0</v>
      </c>
      <c r="O156" s="91">
        <v>0</v>
      </c>
      <c r="P156" s="91">
        <v>0</v>
      </c>
      <c r="Q156" s="91">
        <v>0</v>
      </c>
      <c r="R156" s="91">
        <v>0</v>
      </c>
      <c r="S156" s="91">
        <v>0</v>
      </c>
      <c r="T156" s="91">
        <v>0</v>
      </c>
      <c r="U156" s="91">
        <v>0</v>
      </c>
      <c r="V156" s="91">
        <v>0</v>
      </c>
      <c r="W156" s="91">
        <v>0</v>
      </c>
      <c r="X156" s="91">
        <v>0</v>
      </c>
      <c r="Y156" s="91">
        <v>113108</v>
      </c>
      <c r="Z156" s="91">
        <v>0</v>
      </c>
      <c r="AA156" s="91">
        <v>53108</v>
      </c>
      <c r="AB156" s="91">
        <v>0</v>
      </c>
      <c r="AC156" s="91">
        <v>0</v>
      </c>
      <c r="AD156" s="91">
        <v>0</v>
      </c>
      <c r="AE156" s="91">
        <v>0</v>
      </c>
      <c r="AF156" s="91">
        <v>0</v>
      </c>
      <c r="AG156" s="91">
        <v>60000</v>
      </c>
      <c r="AH156" s="91">
        <v>0</v>
      </c>
      <c r="AI156" s="91">
        <v>0</v>
      </c>
      <c r="AJ156" s="91">
        <v>0</v>
      </c>
      <c r="AK156" s="91">
        <v>0</v>
      </c>
      <c r="AL156" s="91">
        <v>0</v>
      </c>
    </row>
    <row r="157" spans="1:38" ht="46.5" hidden="1" x14ac:dyDescent="0.25">
      <c r="A157" s="89" t="s">
        <v>532</v>
      </c>
      <c r="B157" s="90" t="s">
        <v>689</v>
      </c>
      <c r="C157" s="90">
        <v>2522751</v>
      </c>
      <c r="D157" s="90" t="str">
        <f>VLOOKUP(C157,'do průběžek'!$A$2:$D$246,2,FALSE)</f>
        <v>PO kraje</v>
      </c>
      <c r="E157" s="90" t="str">
        <f>VLOOKUP(C157,'do průběžek'!$A$2:$D$246,3,FALSE)</f>
        <v>§49 - Domovy pro seniory</v>
      </c>
      <c r="F157" s="90" t="str">
        <f>VLOOKUP(C157,'do průběžek'!$A$2:$D$246,4,FALSE)</f>
        <v>pobytová</v>
      </c>
      <c r="G157" s="90">
        <f>VLOOKUP(C157,'do průběžek'!$H$2:$J$246,2,FALSE)</f>
        <v>28.62</v>
      </c>
      <c r="H157" s="90">
        <f>VLOOKUP(C157,'do průběžek'!$H$2:$J$246,3,FALSE)</f>
        <v>66</v>
      </c>
      <c r="I157" s="91">
        <v>36343627</v>
      </c>
      <c r="J157" s="91">
        <v>21570467</v>
      </c>
      <c r="K157" s="91">
        <v>13756130</v>
      </c>
      <c r="L157" s="91">
        <v>8571000</v>
      </c>
      <c r="M157" s="91">
        <v>5185130</v>
      </c>
      <c r="N157" s="91">
        <v>0</v>
      </c>
      <c r="O157" s="91">
        <v>0</v>
      </c>
      <c r="P157" s="91">
        <v>0</v>
      </c>
      <c r="Q157" s="91">
        <v>0</v>
      </c>
      <c r="R157" s="91">
        <v>0</v>
      </c>
      <c r="S157" s="91">
        <v>0</v>
      </c>
      <c r="T157" s="91">
        <v>0</v>
      </c>
      <c r="U157" s="91">
        <v>0</v>
      </c>
      <c r="V157" s="91">
        <v>0</v>
      </c>
      <c r="W157" s="91">
        <v>0</v>
      </c>
      <c r="X157" s="91">
        <v>0</v>
      </c>
      <c r="Y157" s="91">
        <v>7814337</v>
      </c>
      <c r="Z157" s="91">
        <v>6407665</v>
      </c>
      <c r="AA157" s="91">
        <v>0</v>
      </c>
      <c r="AB157" s="91">
        <v>1216437</v>
      </c>
      <c r="AC157" s="91">
        <v>0</v>
      </c>
      <c r="AD157" s="91">
        <v>0</v>
      </c>
      <c r="AE157" s="91">
        <v>0</v>
      </c>
      <c r="AF157" s="91">
        <v>0</v>
      </c>
      <c r="AG157" s="91">
        <v>190235</v>
      </c>
      <c r="AH157" s="91">
        <v>2905692</v>
      </c>
      <c r="AI157" s="91">
        <v>237283</v>
      </c>
      <c r="AJ157" s="91">
        <v>238114</v>
      </c>
      <c r="AK157" s="91">
        <v>2257635</v>
      </c>
      <c r="AL157" s="91">
        <v>172660</v>
      </c>
    </row>
    <row r="158" spans="1:38" ht="46.5" hidden="1" x14ac:dyDescent="0.25">
      <c r="A158" s="89" t="s">
        <v>532</v>
      </c>
      <c r="B158" s="90" t="s">
        <v>690</v>
      </c>
      <c r="C158" s="90">
        <v>2138835</v>
      </c>
      <c r="D158" s="90" t="str">
        <f>VLOOKUP(C158,'do průběžek'!$A$2:$D$246,2,FALSE)</f>
        <v>PO kraje</v>
      </c>
      <c r="E158" s="90" t="str">
        <f>VLOOKUP(C158,'do průběžek'!$A$2:$D$246,3,FALSE)</f>
        <v>§49 - Domovy pro seniory</v>
      </c>
      <c r="F158" s="90" t="str">
        <f>VLOOKUP(C158,'do průběžek'!$A$2:$D$246,4,FALSE)</f>
        <v>pobytová</v>
      </c>
      <c r="G158" s="90">
        <f>VLOOKUP(C158,'do průběžek'!$H$2:$J$246,2,FALSE)</f>
        <v>46.4</v>
      </c>
      <c r="H158" s="90">
        <f>VLOOKUP(C158,'do průběžek'!$H$2:$J$246,3,FALSE)</f>
        <v>111</v>
      </c>
      <c r="I158" s="91">
        <v>49759733.82</v>
      </c>
      <c r="J158" s="91">
        <v>38420831.229999997</v>
      </c>
      <c r="K158" s="91">
        <v>24553376</v>
      </c>
      <c r="L158" s="91">
        <v>17828000</v>
      </c>
      <c r="M158" s="91">
        <v>6725376</v>
      </c>
      <c r="N158" s="91">
        <v>0</v>
      </c>
      <c r="O158" s="91">
        <v>0</v>
      </c>
      <c r="P158" s="91">
        <v>0</v>
      </c>
      <c r="Q158" s="91">
        <v>0</v>
      </c>
      <c r="R158" s="91">
        <v>0</v>
      </c>
      <c r="S158" s="91">
        <v>0</v>
      </c>
      <c r="T158" s="91">
        <v>0</v>
      </c>
      <c r="U158" s="91">
        <v>0</v>
      </c>
      <c r="V158" s="91">
        <v>0</v>
      </c>
      <c r="W158" s="91">
        <v>0</v>
      </c>
      <c r="X158" s="91">
        <v>0</v>
      </c>
      <c r="Y158" s="91">
        <v>13867455.23</v>
      </c>
      <c r="Z158" s="91">
        <v>11345544</v>
      </c>
      <c r="AA158" s="91">
        <v>0</v>
      </c>
      <c r="AB158" s="91">
        <v>2259184.87</v>
      </c>
      <c r="AC158" s="91">
        <v>0</v>
      </c>
      <c r="AD158" s="91">
        <v>0</v>
      </c>
      <c r="AE158" s="91">
        <v>262726.36</v>
      </c>
      <c r="AF158" s="91">
        <v>0</v>
      </c>
      <c r="AG158" s="91">
        <v>0</v>
      </c>
      <c r="AH158" s="91">
        <v>6556487</v>
      </c>
      <c r="AI158" s="91">
        <v>1966905</v>
      </c>
      <c r="AJ158" s="91">
        <v>500960</v>
      </c>
      <c r="AK158" s="91">
        <v>3855822</v>
      </c>
      <c r="AL158" s="91">
        <v>232800</v>
      </c>
    </row>
    <row r="159" spans="1:38" ht="46.5" hidden="1" x14ac:dyDescent="0.25">
      <c r="A159" s="89" t="s">
        <v>532</v>
      </c>
      <c r="B159" s="90" t="s">
        <v>691</v>
      </c>
      <c r="C159" s="90">
        <v>8609487</v>
      </c>
      <c r="D159" s="90" t="str">
        <f>VLOOKUP(C159,'do průběžek'!$A$2:$D$246,2,FALSE)</f>
        <v>Příspěvková organizace zřízená územním samosprávným celkem</v>
      </c>
      <c r="E159" s="90" t="str">
        <f>VLOOKUP(C159,'do průběžek'!$A$2:$D$246,3,FALSE)</f>
        <v>§49 - Domovy pro seniory</v>
      </c>
      <c r="F159" s="90" t="str">
        <f>VLOOKUP(C159,'do průběžek'!$A$2:$D$246,4,FALSE)</f>
        <v>pobytová</v>
      </c>
      <c r="G159" s="90">
        <f>VLOOKUP(C159,'do průběžek'!$H$2:$J$246,2,FALSE)</f>
        <v>24.64</v>
      </c>
      <c r="H159" s="90">
        <f>VLOOKUP(C159,'do průběžek'!$H$2:$J$246,3,FALSE)</f>
        <v>43</v>
      </c>
      <c r="I159" s="91">
        <v>17449191</v>
      </c>
      <c r="J159" s="91">
        <v>16674447.34</v>
      </c>
      <c r="K159" s="91">
        <v>10574650.6</v>
      </c>
      <c r="L159" s="91">
        <v>7603000</v>
      </c>
      <c r="M159" s="91">
        <v>0</v>
      </c>
      <c r="N159" s="91">
        <v>0</v>
      </c>
      <c r="O159" s="91">
        <v>0</v>
      </c>
      <c r="P159" s="91">
        <v>0</v>
      </c>
      <c r="Q159" s="91">
        <v>0</v>
      </c>
      <c r="R159" s="91">
        <v>0</v>
      </c>
      <c r="S159" s="91">
        <v>0</v>
      </c>
      <c r="T159" s="91">
        <v>2970000</v>
      </c>
      <c r="U159" s="91">
        <v>0</v>
      </c>
      <c r="V159" s="91">
        <v>0</v>
      </c>
      <c r="W159" s="91">
        <v>0</v>
      </c>
      <c r="X159" s="91">
        <v>1650.6</v>
      </c>
      <c r="Y159" s="91">
        <v>6099796.7400000002</v>
      </c>
      <c r="Z159" s="91">
        <v>4258585</v>
      </c>
      <c r="AA159" s="91">
        <v>0</v>
      </c>
      <c r="AB159" s="91">
        <v>1592668.56</v>
      </c>
      <c r="AC159" s="91">
        <v>0</v>
      </c>
      <c r="AD159" s="91">
        <v>163707.14000000001</v>
      </c>
      <c r="AE159" s="91">
        <v>83837.039999999994</v>
      </c>
      <c r="AF159" s="91">
        <v>0</v>
      </c>
      <c r="AG159" s="91">
        <v>999</v>
      </c>
      <c r="AH159" s="91">
        <v>2335481</v>
      </c>
      <c r="AI159" s="91">
        <v>198722</v>
      </c>
      <c r="AJ159" s="91">
        <v>234444</v>
      </c>
      <c r="AK159" s="91">
        <v>1902315</v>
      </c>
      <c r="AL159" s="91">
        <v>0</v>
      </c>
    </row>
    <row r="160" spans="1:38" ht="46.5" hidden="1" x14ac:dyDescent="0.25">
      <c r="A160" s="89" t="s">
        <v>532</v>
      </c>
      <c r="B160" s="90" t="s">
        <v>692</v>
      </c>
      <c r="C160" s="90">
        <v>3823721</v>
      </c>
      <c r="D160" s="90" t="str">
        <f>VLOOKUP(C160,'do průběžek'!$A$2:$D$246,2,FALSE)</f>
        <v>PO kraje</v>
      </c>
      <c r="E160" s="90" t="str">
        <f>VLOOKUP(C160,'do průběžek'!$A$2:$D$246,3,FALSE)</f>
        <v>§49 - Domovy pro seniory</v>
      </c>
      <c r="F160" s="90" t="str">
        <f>VLOOKUP(C160,'do průběžek'!$A$2:$D$246,4,FALSE)</f>
        <v>pobytová</v>
      </c>
      <c r="G160" s="90">
        <f>VLOOKUP(C160,'do průběžek'!$H$2:$J$246,2,FALSE)</f>
        <v>14.76</v>
      </c>
      <c r="H160" s="90">
        <f>VLOOKUP(C160,'do průběžek'!$H$2:$J$246,3,FALSE)</f>
        <v>37</v>
      </c>
      <c r="I160" s="91">
        <v>18202978</v>
      </c>
      <c r="J160" s="91">
        <v>15152487</v>
      </c>
      <c r="K160" s="91">
        <v>10678721</v>
      </c>
      <c r="L160" s="91">
        <v>5608000</v>
      </c>
      <c r="M160" s="91">
        <v>5059969</v>
      </c>
      <c r="N160" s="91">
        <v>0</v>
      </c>
      <c r="O160" s="91">
        <v>0</v>
      </c>
      <c r="P160" s="91">
        <v>0</v>
      </c>
      <c r="Q160" s="91">
        <v>0</v>
      </c>
      <c r="R160" s="91">
        <v>0</v>
      </c>
      <c r="S160" s="91">
        <v>10752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4473766</v>
      </c>
      <c r="Z160" s="91">
        <v>3609173</v>
      </c>
      <c r="AA160" s="91">
        <v>0</v>
      </c>
      <c r="AB160" s="91">
        <v>797474</v>
      </c>
      <c r="AC160" s="91">
        <v>0</v>
      </c>
      <c r="AD160" s="91">
        <v>10353</v>
      </c>
      <c r="AE160" s="91">
        <v>0</v>
      </c>
      <c r="AF160" s="91">
        <v>0</v>
      </c>
      <c r="AG160" s="91">
        <v>56766</v>
      </c>
      <c r="AH160" s="91">
        <v>1322569</v>
      </c>
      <c r="AI160" s="91">
        <v>16503</v>
      </c>
      <c r="AJ160" s="91">
        <v>39464</v>
      </c>
      <c r="AK160" s="91">
        <v>1221594</v>
      </c>
      <c r="AL160" s="91">
        <v>45008</v>
      </c>
    </row>
    <row r="161" spans="1:38" ht="46.5" hidden="1" x14ac:dyDescent="0.25">
      <c r="A161" s="89" t="s">
        <v>532</v>
      </c>
      <c r="B161" s="90" t="s">
        <v>693</v>
      </c>
      <c r="C161" s="90">
        <v>3988103</v>
      </c>
      <c r="D161" s="90" t="str">
        <f>VLOOKUP(C161,'do průběžek'!$A$2:$D$246,2,FALSE)</f>
        <v>Církve a náboženské společnosti</v>
      </c>
      <c r="E161" s="90" t="str">
        <f>VLOOKUP(C161,'do průběžek'!$A$2:$D$246,3,FALSE)</f>
        <v>§49 - Domovy pro seniory</v>
      </c>
      <c r="F161" s="90" t="str">
        <f>VLOOKUP(C161,'do průběžek'!$A$2:$D$246,4,FALSE)</f>
        <v>pobytová</v>
      </c>
      <c r="G161" s="90">
        <f>VLOOKUP(C161,'do průběžek'!$H$2:$J$246,2,FALSE)</f>
        <v>17.399999999999999</v>
      </c>
      <c r="H161" s="90">
        <f>VLOOKUP(C161,'do průběžek'!$H$2:$J$246,3,FALSE)</f>
        <v>45</v>
      </c>
      <c r="I161" s="91">
        <v>24558295</v>
      </c>
      <c r="J161" s="91">
        <v>12365688</v>
      </c>
      <c r="K161" s="91">
        <v>6818000</v>
      </c>
      <c r="L161" s="91">
        <v>6498000</v>
      </c>
      <c r="M161" s="91">
        <v>0</v>
      </c>
      <c r="N161" s="91">
        <v>290000</v>
      </c>
      <c r="O161" s="91">
        <v>0</v>
      </c>
      <c r="P161" s="91">
        <v>0</v>
      </c>
      <c r="Q161" s="91">
        <v>0</v>
      </c>
      <c r="R161" s="91">
        <v>0</v>
      </c>
      <c r="S161" s="91">
        <v>30000</v>
      </c>
      <c r="T161" s="91">
        <v>0</v>
      </c>
      <c r="U161" s="91">
        <v>0</v>
      </c>
      <c r="V161" s="91">
        <v>0</v>
      </c>
      <c r="W161" s="91">
        <v>0</v>
      </c>
      <c r="X161" s="91">
        <v>0</v>
      </c>
      <c r="Y161" s="91">
        <v>5547688</v>
      </c>
      <c r="Z161" s="91">
        <v>2345874</v>
      </c>
      <c r="AA161" s="91">
        <v>1869952</v>
      </c>
      <c r="AB161" s="91">
        <v>919411</v>
      </c>
      <c r="AC161" s="91">
        <v>0</v>
      </c>
      <c r="AD161" s="91">
        <v>77000</v>
      </c>
      <c r="AE161" s="91">
        <v>335451</v>
      </c>
      <c r="AF161" s="91">
        <v>0</v>
      </c>
      <c r="AG161" s="91">
        <v>0</v>
      </c>
      <c r="AH161" s="91">
        <v>2208096</v>
      </c>
      <c r="AI161" s="91">
        <v>277291</v>
      </c>
      <c r="AJ161" s="91">
        <v>409260</v>
      </c>
      <c r="AK161" s="91">
        <v>1498265</v>
      </c>
      <c r="AL161" s="91">
        <v>23280</v>
      </c>
    </row>
    <row r="162" spans="1:38" ht="46.5" hidden="1" x14ac:dyDescent="0.25">
      <c r="A162" s="89" t="s">
        <v>532</v>
      </c>
      <c r="B162" s="90" t="s">
        <v>694</v>
      </c>
      <c r="C162" s="90">
        <v>5172647</v>
      </c>
      <c r="D162" s="90" t="str">
        <f>VLOOKUP(C162,'do průběžek'!$A$2:$D$246,2,FALSE)</f>
        <v>PO kraje</v>
      </c>
      <c r="E162" s="90" t="str">
        <f>VLOOKUP(C162,'do průběžek'!$A$2:$D$246,3,FALSE)</f>
        <v>§49 - Domovy pro seniory</v>
      </c>
      <c r="F162" s="90" t="str">
        <f>VLOOKUP(C162,'do průběžek'!$A$2:$D$246,4,FALSE)</f>
        <v>pobytová</v>
      </c>
      <c r="G162" s="90">
        <f>VLOOKUP(C162,'do průběžek'!$H$2:$J$246,2,FALSE)</f>
        <v>86</v>
      </c>
      <c r="H162" s="90">
        <f>VLOOKUP(C162,'do průběžek'!$H$2:$J$246,3,FALSE)</f>
        <v>166</v>
      </c>
      <c r="I162" s="91">
        <v>6939997</v>
      </c>
      <c r="J162" s="91">
        <v>54761605</v>
      </c>
      <c r="K162" s="91">
        <v>33718036</v>
      </c>
      <c r="L162" s="91">
        <v>23657000</v>
      </c>
      <c r="M162" s="91">
        <v>10061036</v>
      </c>
      <c r="N162" s="91">
        <v>0</v>
      </c>
      <c r="O162" s="91">
        <v>0</v>
      </c>
      <c r="P162" s="91">
        <v>0</v>
      </c>
      <c r="Q162" s="91">
        <v>0</v>
      </c>
      <c r="R162" s="91">
        <v>0</v>
      </c>
      <c r="S162" s="91">
        <v>0</v>
      </c>
      <c r="T162" s="91">
        <v>0</v>
      </c>
      <c r="U162" s="91">
        <v>0</v>
      </c>
      <c r="V162" s="91">
        <v>0</v>
      </c>
      <c r="W162" s="91">
        <v>0</v>
      </c>
      <c r="X162" s="91">
        <v>0</v>
      </c>
      <c r="Y162" s="91">
        <v>21043569</v>
      </c>
      <c r="Z162" s="91">
        <v>9136235</v>
      </c>
      <c r="AA162" s="91">
        <v>7138441</v>
      </c>
      <c r="AB162" s="91">
        <v>3184065</v>
      </c>
      <c r="AC162" s="91">
        <v>0</v>
      </c>
      <c r="AD162" s="91">
        <v>95603</v>
      </c>
      <c r="AE162" s="91">
        <v>0</v>
      </c>
      <c r="AF162" s="91">
        <v>0</v>
      </c>
      <c r="AG162" s="91">
        <v>1489225</v>
      </c>
      <c r="AH162" s="91">
        <v>12025669</v>
      </c>
      <c r="AI162" s="91">
        <v>3270458</v>
      </c>
      <c r="AJ162" s="91">
        <v>1460109</v>
      </c>
      <c r="AK162" s="91">
        <v>6346054</v>
      </c>
      <c r="AL162" s="91">
        <v>949048</v>
      </c>
    </row>
    <row r="163" spans="1:38" ht="46.5" hidden="1" x14ac:dyDescent="0.25">
      <c r="A163" s="89" t="s">
        <v>532</v>
      </c>
      <c r="B163" s="90" t="s">
        <v>695</v>
      </c>
      <c r="C163" s="90">
        <v>6940940</v>
      </c>
      <c r="D163" s="90" t="str">
        <f>VLOOKUP(C163,'do průběžek'!$A$2:$D$246,2,FALSE)</f>
        <v>Církve a náboženské společnosti</v>
      </c>
      <c r="E163" s="90" t="str">
        <f>VLOOKUP(C163,'do průběžek'!$A$2:$D$246,3,FALSE)</f>
        <v>§49 - Domovy pro seniory</v>
      </c>
      <c r="F163" s="90" t="str">
        <f>VLOOKUP(C163,'do průběžek'!$A$2:$D$246,4,FALSE)</f>
        <v>pobytová</v>
      </c>
      <c r="G163" s="90">
        <f>VLOOKUP(C163,'do průběžek'!$H$2:$J$246,2,FALSE)</f>
        <v>9.4499999999999993</v>
      </c>
      <c r="H163" s="90">
        <f>VLOOKUP(C163,'do průběžek'!$H$2:$J$246,3,FALSE)</f>
        <v>20</v>
      </c>
      <c r="I163" s="91">
        <v>8950042.1300000008</v>
      </c>
      <c r="J163" s="91">
        <v>5702622</v>
      </c>
      <c r="K163" s="91">
        <v>3579000</v>
      </c>
      <c r="L163" s="91">
        <v>3332000</v>
      </c>
      <c r="M163" s="91">
        <v>0</v>
      </c>
      <c r="N163" s="91">
        <v>202000</v>
      </c>
      <c r="O163" s="91">
        <v>0</v>
      </c>
      <c r="P163" s="91">
        <v>0</v>
      </c>
      <c r="Q163" s="91">
        <v>0</v>
      </c>
      <c r="R163" s="91">
        <v>0</v>
      </c>
      <c r="S163" s="91">
        <v>0</v>
      </c>
      <c r="T163" s="91">
        <v>0</v>
      </c>
      <c r="U163" s="91">
        <v>0</v>
      </c>
      <c r="V163" s="91">
        <v>0</v>
      </c>
      <c r="W163" s="91">
        <v>0</v>
      </c>
      <c r="X163" s="91">
        <v>45000</v>
      </c>
      <c r="Y163" s="91">
        <v>2123622</v>
      </c>
      <c r="Z163" s="91">
        <v>1603380</v>
      </c>
      <c r="AA163" s="91">
        <v>0</v>
      </c>
      <c r="AB163" s="91">
        <v>387757</v>
      </c>
      <c r="AC163" s="91">
        <v>0</v>
      </c>
      <c r="AD163" s="91">
        <v>132485</v>
      </c>
      <c r="AE163" s="91">
        <v>0</v>
      </c>
      <c r="AF163" s="91">
        <v>0</v>
      </c>
      <c r="AG163" s="91">
        <v>0</v>
      </c>
      <c r="AH163" s="91">
        <v>1021692</v>
      </c>
      <c r="AI163" s="91">
        <v>131173</v>
      </c>
      <c r="AJ163" s="91">
        <v>0</v>
      </c>
      <c r="AK163" s="91">
        <v>890519</v>
      </c>
      <c r="AL163" s="91">
        <v>0</v>
      </c>
    </row>
    <row r="164" spans="1:38" ht="46.5" hidden="1" x14ac:dyDescent="0.25">
      <c r="A164" s="89" t="s">
        <v>532</v>
      </c>
      <c r="B164" s="90" t="s">
        <v>696</v>
      </c>
      <c r="C164" s="90">
        <v>6967411</v>
      </c>
      <c r="D164" s="90" t="str">
        <f>VLOOKUP(C164,'do průběžek'!$A$2:$D$246,2,FALSE)</f>
        <v>Obecně prospěšná společnost</v>
      </c>
      <c r="E164" s="90" t="str">
        <f>VLOOKUP(C164,'do průběžek'!$A$2:$D$246,3,FALSE)</f>
        <v>§49 - Domovy pro seniory</v>
      </c>
      <c r="F164" s="90" t="str">
        <f>VLOOKUP(C164,'do průběžek'!$A$2:$D$246,4,FALSE)</f>
        <v>pobytová</v>
      </c>
      <c r="G164" s="90">
        <f>VLOOKUP(C164,'do průběžek'!$H$2:$J$246,2,FALSE)</f>
        <v>20</v>
      </c>
      <c r="H164" s="90">
        <f>VLOOKUP(C164,'do průběžek'!$H$2:$J$246,3,FALSE)</f>
        <v>26</v>
      </c>
      <c r="I164" s="91">
        <v>10979802</v>
      </c>
      <c r="J164" s="91">
        <v>10474118</v>
      </c>
      <c r="K164" s="91">
        <v>5769797</v>
      </c>
      <c r="L164" s="91">
        <v>5295000</v>
      </c>
      <c r="M164" s="91">
        <v>0</v>
      </c>
      <c r="N164" s="91">
        <v>0</v>
      </c>
      <c r="O164" s="91">
        <v>0</v>
      </c>
      <c r="P164" s="91">
        <v>0</v>
      </c>
      <c r="Q164" s="91">
        <v>0</v>
      </c>
      <c r="R164" s="91">
        <v>0</v>
      </c>
      <c r="S164" s="91">
        <v>474797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4704321</v>
      </c>
      <c r="Z164" s="91">
        <v>2926092</v>
      </c>
      <c r="AA164" s="91">
        <v>13000</v>
      </c>
      <c r="AB164" s="91">
        <v>1417943</v>
      </c>
      <c r="AC164" s="91">
        <v>0</v>
      </c>
      <c r="AD164" s="91">
        <v>0</v>
      </c>
      <c r="AE164" s="91">
        <v>347286</v>
      </c>
      <c r="AF164" s="91">
        <v>0</v>
      </c>
      <c r="AG164" s="91">
        <v>0</v>
      </c>
      <c r="AH164" s="91">
        <v>3879512</v>
      </c>
      <c r="AI164" s="91">
        <v>186245</v>
      </c>
      <c r="AJ164" s="91">
        <v>1806008</v>
      </c>
      <c r="AK164" s="91">
        <v>1855083</v>
      </c>
      <c r="AL164" s="91">
        <v>32176</v>
      </c>
    </row>
    <row r="165" spans="1:38" ht="46.5" hidden="1" x14ac:dyDescent="0.25">
      <c r="A165" s="89" t="s">
        <v>532</v>
      </c>
      <c r="B165" s="90" t="s">
        <v>697</v>
      </c>
      <c r="C165" s="90">
        <v>8788790</v>
      </c>
      <c r="D165" s="90" t="str">
        <f>VLOOKUP(C165,'do průběžek'!$A$2:$D$246,2,FALSE)</f>
        <v>Příspěvková organizace zřízená územním samosprávným celkem</v>
      </c>
      <c r="E165" s="90" t="str">
        <f>VLOOKUP(C165,'do průběžek'!$A$2:$D$246,3,FALSE)</f>
        <v>§49 - Domovy pro seniory</v>
      </c>
      <c r="F165" s="90" t="str">
        <f>VLOOKUP(C165,'do průběžek'!$A$2:$D$246,4,FALSE)</f>
        <v>pobytová</v>
      </c>
      <c r="G165" s="90">
        <f>VLOOKUP(C165,'do průběžek'!$H$2:$J$246,2,FALSE)</f>
        <v>31</v>
      </c>
      <c r="H165" s="90">
        <f>VLOOKUP(C165,'do průběžek'!$H$2:$J$246,3,FALSE)</f>
        <v>50</v>
      </c>
      <c r="I165" s="91">
        <v>22535105</v>
      </c>
      <c r="J165" s="91">
        <v>20286550.859999999</v>
      </c>
      <c r="K165" s="91">
        <v>13273000</v>
      </c>
      <c r="L165" s="91">
        <v>8307000</v>
      </c>
      <c r="M165" s="91">
        <v>0</v>
      </c>
      <c r="N165" s="91">
        <v>0</v>
      </c>
      <c r="O165" s="91">
        <v>0</v>
      </c>
      <c r="P165" s="91">
        <v>0</v>
      </c>
      <c r="Q165" s="91">
        <v>0</v>
      </c>
      <c r="R165" s="91">
        <v>0</v>
      </c>
      <c r="S165" s="91">
        <v>0</v>
      </c>
      <c r="T165" s="91">
        <v>4966000</v>
      </c>
      <c r="U165" s="91">
        <v>0</v>
      </c>
      <c r="V165" s="91">
        <v>0</v>
      </c>
      <c r="W165" s="91">
        <v>0</v>
      </c>
      <c r="X165" s="91">
        <v>0</v>
      </c>
      <c r="Y165" s="91">
        <v>7013550.8600000003</v>
      </c>
      <c r="Z165" s="91">
        <v>5977501</v>
      </c>
      <c r="AA165" s="91">
        <v>88340</v>
      </c>
      <c r="AB165" s="91">
        <v>941104.01</v>
      </c>
      <c r="AC165" s="91">
        <v>0</v>
      </c>
      <c r="AD165" s="91">
        <v>6000</v>
      </c>
      <c r="AE165" s="91">
        <v>0</v>
      </c>
      <c r="AF165" s="91">
        <v>0</v>
      </c>
      <c r="AG165" s="91">
        <v>605.85</v>
      </c>
      <c r="AH165" s="91">
        <v>3651020</v>
      </c>
      <c r="AI165" s="91">
        <v>1001860</v>
      </c>
      <c r="AJ165" s="91">
        <v>0</v>
      </c>
      <c r="AK165" s="91">
        <v>2649160</v>
      </c>
      <c r="AL165" s="91">
        <v>0</v>
      </c>
    </row>
    <row r="166" spans="1:38" ht="46.5" hidden="1" x14ac:dyDescent="0.25">
      <c r="A166" s="89" t="s">
        <v>532</v>
      </c>
      <c r="B166" s="90" t="s">
        <v>698</v>
      </c>
      <c r="C166" s="90">
        <v>3625295</v>
      </c>
      <c r="D166" s="90" t="str">
        <f>VLOOKUP(C166,'do průběžek'!$A$2:$D$246,2,FALSE)</f>
        <v>Příspěvková organizace zřízená územním samosprávným celkem</v>
      </c>
      <c r="E166" s="90" t="str">
        <f>VLOOKUP(C166,'do průběžek'!$A$2:$D$246,3,FALSE)</f>
        <v>§49 - Domovy pro seniory</v>
      </c>
      <c r="F166" s="90" t="str">
        <f>VLOOKUP(C166,'do průběžek'!$A$2:$D$246,4,FALSE)</f>
        <v>pobytová</v>
      </c>
      <c r="G166" s="90">
        <f>VLOOKUP(C166,'do průběžek'!$H$2:$J$246,2,FALSE)</f>
        <v>27.5</v>
      </c>
      <c r="H166" s="90">
        <f>VLOOKUP(C166,'do průběžek'!$H$2:$J$246,3,FALSE)</f>
        <v>65</v>
      </c>
      <c r="I166" s="91">
        <v>29061637</v>
      </c>
      <c r="J166" s="91">
        <v>19987204.100000001</v>
      </c>
      <c r="K166" s="91">
        <v>11893000</v>
      </c>
      <c r="L166" s="91">
        <v>8517000</v>
      </c>
      <c r="M166" s="91">
        <v>0</v>
      </c>
      <c r="N166" s="91">
        <v>0</v>
      </c>
      <c r="O166" s="91">
        <v>0</v>
      </c>
      <c r="P166" s="91">
        <v>0</v>
      </c>
      <c r="Q166" s="91">
        <v>0</v>
      </c>
      <c r="R166" s="91">
        <v>0</v>
      </c>
      <c r="S166" s="91">
        <v>0</v>
      </c>
      <c r="T166" s="91">
        <v>3376000</v>
      </c>
      <c r="U166" s="91">
        <v>0</v>
      </c>
      <c r="V166" s="91">
        <v>0</v>
      </c>
      <c r="W166" s="91">
        <v>0</v>
      </c>
      <c r="X166" s="91">
        <v>0</v>
      </c>
      <c r="Y166" s="91">
        <v>8094204.0999999996</v>
      </c>
      <c r="Z166" s="91">
        <v>6059968</v>
      </c>
      <c r="AA166" s="91">
        <v>0</v>
      </c>
      <c r="AB166" s="91">
        <v>1944665.1</v>
      </c>
      <c r="AC166" s="91">
        <v>0</v>
      </c>
      <c r="AD166" s="91">
        <v>0</v>
      </c>
      <c r="AE166" s="91">
        <v>89571</v>
      </c>
      <c r="AF166" s="91">
        <v>0</v>
      </c>
      <c r="AG166" s="91">
        <v>0</v>
      </c>
      <c r="AH166" s="91">
        <v>3944591</v>
      </c>
      <c r="AI166" s="91">
        <v>264475</v>
      </c>
      <c r="AJ166" s="91">
        <v>1450600</v>
      </c>
      <c r="AK166" s="91">
        <v>2097984</v>
      </c>
      <c r="AL166" s="91">
        <v>131532</v>
      </c>
    </row>
    <row r="167" spans="1:38" ht="46.5" hidden="1" x14ac:dyDescent="0.25">
      <c r="A167" s="89" t="s">
        <v>532</v>
      </c>
      <c r="B167" s="90" t="s">
        <v>699</v>
      </c>
      <c r="C167" s="90">
        <v>3732526</v>
      </c>
      <c r="D167" s="90" t="str">
        <f>VLOOKUP(C167,'do průběžek'!$A$2:$D$246,2,FALSE)</f>
        <v>Příspěvková organizace zřízená územním samosprávným celkem</v>
      </c>
      <c r="E167" s="90" t="str">
        <f>VLOOKUP(C167,'do průběžek'!$A$2:$D$246,3,FALSE)</f>
        <v>§49 - Domovy pro seniory</v>
      </c>
      <c r="F167" s="90" t="str">
        <f>VLOOKUP(C167,'do průběžek'!$A$2:$D$246,4,FALSE)</f>
        <v>pobytová</v>
      </c>
      <c r="G167" s="90">
        <f>VLOOKUP(C167,'do průběžek'!$H$2:$J$246,2,FALSE)</f>
        <v>33.1</v>
      </c>
      <c r="H167" s="90">
        <f>VLOOKUP(C167,'do průběžek'!$H$2:$J$246,3,FALSE)</f>
        <v>64</v>
      </c>
      <c r="I167" s="91">
        <v>28175935</v>
      </c>
      <c r="J167" s="91">
        <v>20372169.899999999</v>
      </c>
      <c r="K167" s="91">
        <v>12696000</v>
      </c>
      <c r="L167" s="91">
        <v>8881000</v>
      </c>
      <c r="M167" s="91">
        <v>0</v>
      </c>
      <c r="N167" s="91">
        <v>0</v>
      </c>
      <c r="O167" s="91">
        <v>0</v>
      </c>
      <c r="P167" s="91">
        <v>0</v>
      </c>
      <c r="Q167" s="91">
        <v>0</v>
      </c>
      <c r="R167" s="91">
        <v>0</v>
      </c>
      <c r="S167" s="91">
        <v>0</v>
      </c>
      <c r="T167" s="91">
        <v>3815000</v>
      </c>
      <c r="U167" s="91">
        <v>0</v>
      </c>
      <c r="V167" s="91">
        <v>0</v>
      </c>
      <c r="W167" s="91">
        <v>0</v>
      </c>
      <c r="X167" s="91">
        <v>0</v>
      </c>
      <c r="Y167" s="91">
        <v>7676169.9000000004</v>
      </c>
      <c r="Z167" s="91">
        <v>3462127</v>
      </c>
      <c r="AA167" s="91">
        <v>2733853</v>
      </c>
      <c r="AB167" s="91">
        <v>907273</v>
      </c>
      <c r="AC167" s="91">
        <v>0</v>
      </c>
      <c r="AD167" s="91">
        <v>20000</v>
      </c>
      <c r="AE167" s="91">
        <v>60445</v>
      </c>
      <c r="AF167" s="91">
        <v>0</v>
      </c>
      <c r="AG167" s="91">
        <v>492471.9</v>
      </c>
      <c r="AH167" s="91">
        <v>3803095</v>
      </c>
      <c r="AI167" s="91">
        <v>344294</v>
      </c>
      <c r="AJ167" s="91">
        <v>1005605</v>
      </c>
      <c r="AK167" s="91">
        <v>2453196</v>
      </c>
      <c r="AL167" s="91">
        <v>0</v>
      </c>
    </row>
    <row r="168" spans="1:38" ht="46.5" hidden="1" x14ac:dyDescent="0.25">
      <c r="A168" s="89" t="s">
        <v>532</v>
      </c>
      <c r="B168" s="90" t="s">
        <v>700</v>
      </c>
      <c r="C168" s="90">
        <v>4234054</v>
      </c>
      <c r="D168" s="90" t="str">
        <f>VLOOKUP(C168,'do průběžek'!$A$2:$D$246,2,FALSE)</f>
        <v>Příspěvková organizace zřízená územním samosprávným celkem</v>
      </c>
      <c r="E168" s="90" t="str">
        <f>VLOOKUP(C168,'do průběžek'!$A$2:$D$246,3,FALSE)</f>
        <v>§49 - Domovy pro seniory</v>
      </c>
      <c r="F168" s="90" t="str">
        <f>VLOOKUP(C168,'do průběžek'!$A$2:$D$246,4,FALSE)</f>
        <v>pobytová</v>
      </c>
      <c r="G168" s="90">
        <f>VLOOKUP(C168,'do průběžek'!$H$2:$J$246,2,FALSE)</f>
        <v>41.27</v>
      </c>
      <c r="H168" s="90">
        <f>VLOOKUP(C168,'do průběžek'!$H$2:$J$246,3,FALSE)</f>
        <v>71</v>
      </c>
      <c r="I168" s="91">
        <v>30723850</v>
      </c>
      <c r="J168" s="91">
        <v>30683384.09</v>
      </c>
      <c r="K168" s="91">
        <v>21967000</v>
      </c>
      <c r="L168" s="91">
        <v>11282000</v>
      </c>
      <c r="M168" s="91">
        <v>0</v>
      </c>
      <c r="N168" s="91">
        <v>0</v>
      </c>
      <c r="O168" s="91">
        <v>0</v>
      </c>
      <c r="P168" s="91">
        <v>0</v>
      </c>
      <c r="Q168" s="91">
        <v>0</v>
      </c>
      <c r="R168" s="91">
        <v>0</v>
      </c>
      <c r="S168" s="91">
        <v>0</v>
      </c>
      <c r="T168" s="91">
        <v>10685000</v>
      </c>
      <c r="U168" s="91">
        <v>0</v>
      </c>
      <c r="V168" s="91">
        <v>0</v>
      </c>
      <c r="W168" s="91">
        <v>0</v>
      </c>
      <c r="X168" s="91">
        <v>0</v>
      </c>
      <c r="Y168" s="91">
        <v>8716384.0899999999</v>
      </c>
      <c r="Z168" s="91">
        <v>7025886</v>
      </c>
      <c r="AA168" s="91">
        <v>0</v>
      </c>
      <c r="AB168" s="91">
        <v>1621825.6</v>
      </c>
      <c r="AC168" s="91">
        <v>0</v>
      </c>
      <c r="AD168" s="91">
        <v>47888.79</v>
      </c>
      <c r="AE168" s="91">
        <v>0</v>
      </c>
      <c r="AF168" s="91">
        <v>0</v>
      </c>
      <c r="AG168" s="91">
        <v>20783.7</v>
      </c>
      <c r="AH168" s="91">
        <v>3073832</v>
      </c>
      <c r="AI168" s="91">
        <v>593178</v>
      </c>
      <c r="AJ168" s="91">
        <v>537600</v>
      </c>
      <c r="AK168" s="91">
        <v>1943054</v>
      </c>
      <c r="AL168" s="91">
        <v>0</v>
      </c>
    </row>
    <row r="169" spans="1:38" ht="46.5" hidden="1" x14ac:dyDescent="0.25">
      <c r="A169" s="89" t="s">
        <v>532</v>
      </c>
      <c r="B169" s="90" t="s">
        <v>701</v>
      </c>
      <c r="C169" s="90">
        <v>3139161</v>
      </c>
      <c r="D169" s="90" t="str">
        <f>VLOOKUP(C169,'do průběžek'!$A$2:$D$246,2,FALSE)</f>
        <v>PO kraje</v>
      </c>
      <c r="E169" s="90" t="str">
        <f>VLOOKUP(C169,'do průběžek'!$A$2:$D$246,3,FALSE)</f>
        <v>§50 - Domovy se zvláštním režimem</v>
      </c>
      <c r="F169" s="90" t="str">
        <f>VLOOKUP(C169,'do průběžek'!$A$2:$D$246,4,FALSE)</f>
        <v>pobytová</v>
      </c>
      <c r="G169" s="90">
        <f>VLOOKUP(C169,'do průběžek'!$H$2:$J$246,2,FALSE)</f>
        <v>32</v>
      </c>
      <c r="H169" s="90">
        <f>VLOOKUP(C169,'do průběžek'!$H$2:$J$246,3,FALSE)</f>
        <v>59</v>
      </c>
      <c r="I169" s="91">
        <v>31100626</v>
      </c>
      <c r="J169" s="91">
        <v>20700955.41</v>
      </c>
      <c r="K169" s="91">
        <v>13429099</v>
      </c>
      <c r="L169" s="91">
        <v>10110000</v>
      </c>
      <c r="M169" s="91">
        <v>3319099</v>
      </c>
      <c r="N169" s="91">
        <v>0</v>
      </c>
      <c r="O169" s="91">
        <v>0</v>
      </c>
      <c r="P169" s="91">
        <v>0</v>
      </c>
      <c r="Q169" s="91">
        <v>0</v>
      </c>
      <c r="R169" s="91">
        <v>0</v>
      </c>
      <c r="S169" s="91">
        <v>0</v>
      </c>
      <c r="T169" s="91">
        <v>0</v>
      </c>
      <c r="U169" s="91">
        <v>0</v>
      </c>
      <c r="V169" s="91">
        <v>0</v>
      </c>
      <c r="W169" s="91">
        <v>0</v>
      </c>
      <c r="X169" s="91">
        <v>0</v>
      </c>
      <c r="Y169" s="91">
        <v>7271856.4100000001</v>
      </c>
      <c r="Z169" s="91">
        <v>6055783</v>
      </c>
      <c r="AA169" s="91">
        <v>0</v>
      </c>
      <c r="AB169" s="91">
        <v>1109970.6100000001</v>
      </c>
      <c r="AC169" s="91">
        <v>0</v>
      </c>
      <c r="AD169" s="91">
        <v>20840</v>
      </c>
      <c r="AE169" s="91">
        <v>0</v>
      </c>
      <c r="AF169" s="91">
        <v>0</v>
      </c>
      <c r="AG169" s="91">
        <v>85262.8</v>
      </c>
      <c r="AH169" s="91">
        <v>2859829</v>
      </c>
      <c r="AI169" s="91">
        <v>198376</v>
      </c>
      <c r="AJ169" s="91">
        <v>235700</v>
      </c>
      <c r="AK169" s="91">
        <v>2408293</v>
      </c>
      <c r="AL169" s="91">
        <v>17460</v>
      </c>
    </row>
    <row r="170" spans="1:38" ht="46.5" hidden="1" x14ac:dyDescent="0.25">
      <c r="A170" s="89" t="s">
        <v>532</v>
      </c>
      <c r="B170" s="90" t="s">
        <v>702</v>
      </c>
      <c r="C170" s="90">
        <v>4654168</v>
      </c>
      <c r="D170" s="90" t="str">
        <f>VLOOKUP(C170,'do průběžek'!$A$2:$D$246,2,FALSE)</f>
        <v>PO kraje</v>
      </c>
      <c r="E170" s="90" t="str">
        <f>VLOOKUP(C170,'do průběžek'!$A$2:$D$246,3,FALSE)</f>
        <v>§50 - Domovy se zvláštním režimem</v>
      </c>
      <c r="F170" s="90" t="str">
        <f>VLOOKUP(C170,'do průběžek'!$A$2:$D$246,4,FALSE)</f>
        <v>pobytová</v>
      </c>
      <c r="G170" s="90">
        <f>VLOOKUP(C170,'do průběžek'!$H$2:$J$246,2,FALSE)</f>
        <v>22.155000000000001</v>
      </c>
      <c r="H170" s="90">
        <f>VLOOKUP(C170,'do průběžek'!$H$2:$J$246,3,FALSE)</f>
        <v>36</v>
      </c>
      <c r="I170" s="91">
        <v>16082474</v>
      </c>
      <c r="J170" s="91">
        <v>13574151</v>
      </c>
      <c r="K170" s="91">
        <v>8564624</v>
      </c>
      <c r="L170" s="91">
        <v>6074000</v>
      </c>
      <c r="M170" s="91">
        <v>2490624</v>
      </c>
      <c r="N170" s="91">
        <v>0</v>
      </c>
      <c r="O170" s="91">
        <v>0</v>
      </c>
      <c r="P170" s="91">
        <v>0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0</v>
      </c>
      <c r="X170" s="91">
        <v>0</v>
      </c>
      <c r="Y170" s="91">
        <v>5009527</v>
      </c>
      <c r="Z170" s="91">
        <v>1678303</v>
      </c>
      <c r="AA170" s="91">
        <v>1776574</v>
      </c>
      <c r="AB170" s="91">
        <v>1554650</v>
      </c>
      <c r="AC170" s="91">
        <v>0</v>
      </c>
      <c r="AD170" s="91">
        <v>0</v>
      </c>
      <c r="AE170" s="91">
        <v>0</v>
      </c>
      <c r="AF170" s="91">
        <v>0</v>
      </c>
      <c r="AG170" s="91">
        <v>0</v>
      </c>
      <c r="AH170" s="91">
        <v>1413292</v>
      </c>
      <c r="AI170" s="91">
        <v>0</v>
      </c>
      <c r="AJ170" s="91">
        <v>0</v>
      </c>
      <c r="AK170" s="91">
        <v>1400726</v>
      </c>
      <c r="AL170" s="91">
        <v>12566</v>
      </c>
    </row>
    <row r="171" spans="1:38" ht="46.5" hidden="1" x14ac:dyDescent="0.25">
      <c r="A171" s="89" t="s">
        <v>532</v>
      </c>
      <c r="B171" s="90" t="s">
        <v>703</v>
      </c>
      <c r="C171" s="90">
        <v>9266427</v>
      </c>
      <c r="D171" s="90" t="str">
        <f>VLOOKUP(C171,'do průběžek'!$A$2:$D$246,2,FALSE)</f>
        <v>PO kraje</v>
      </c>
      <c r="E171" s="90" t="str">
        <f>VLOOKUP(C171,'do průběžek'!$A$2:$D$246,3,FALSE)</f>
        <v>§50 - Domovy se zvláštním režimem</v>
      </c>
      <c r="F171" s="90" t="str">
        <f>VLOOKUP(C171,'do průběžek'!$A$2:$D$246,4,FALSE)</f>
        <v>pobytová</v>
      </c>
      <c r="G171" s="90">
        <f>VLOOKUP(C171,'do průběžek'!$H$2:$J$246,2,FALSE)</f>
        <v>31.74</v>
      </c>
      <c r="H171" s="90">
        <f>VLOOKUP(C171,'do průběžek'!$H$2:$J$246,3,FALSE)</f>
        <v>52</v>
      </c>
      <c r="I171" s="91">
        <v>33657956</v>
      </c>
      <c r="J171" s="91">
        <v>23915359.039999999</v>
      </c>
      <c r="K171" s="91">
        <v>17488014</v>
      </c>
      <c r="L171" s="91">
        <v>13829874</v>
      </c>
      <c r="M171" s="91">
        <v>3614134</v>
      </c>
      <c r="N171" s="91">
        <v>0</v>
      </c>
      <c r="O171" s="91">
        <v>0</v>
      </c>
      <c r="P171" s="91">
        <v>0</v>
      </c>
      <c r="Q171" s="91">
        <v>0</v>
      </c>
      <c r="R171" s="91">
        <v>0</v>
      </c>
      <c r="S171" s="91">
        <v>0</v>
      </c>
      <c r="T171" s="91">
        <v>0</v>
      </c>
      <c r="U171" s="91">
        <v>0</v>
      </c>
      <c r="V171" s="91">
        <v>0</v>
      </c>
      <c r="W171" s="91">
        <v>0</v>
      </c>
      <c r="X171" s="91">
        <v>44006</v>
      </c>
      <c r="Y171" s="91">
        <v>6427345.04</v>
      </c>
      <c r="Z171" s="91">
        <v>5518862</v>
      </c>
      <c r="AA171" s="91">
        <v>0</v>
      </c>
      <c r="AB171" s="91">
        <v>763237.39</v>
      </c>
      <c r="AC171" s="91">
        <v>0</v>
      </c>
      <c r="AD171" s="91">
        <v>0</v>
      </c>
      <c r="AE171" s="91">
        <v>121563.5</v>
      </c>
      <c r="AF171" s="91">
        <v>0</v>
      </c>
      <c r="AG171" s="91">
        <v>23682.15</v>
      </c>
      <c r="AH171" s="91">
        <v>2713539</v>
      </c>
      <c r="AI171" s="91">
        <v>175860</v>
      </c>
      <c r="AJ171" s="91">
        <v>23275</v>
      </c>
      <c r="AK171" s="91">
        <v>2514404</v>
      </c>
      <c r="AL171" s="91">
        <v>0</v>
      </c>
    </row>
    <row r="172" spans="1:38" ht="46.5" hidden="1" x14ac:dyDescent="0.25">
      <c r="A172" s="89" t="s">
        <v>532</v>
      </c>
      <c r="B172" s="90" t="s">
        <v>704</v>
      </c>
      <c r="C172" s="90">
        <v>8760544</v>
      </c>
      <c r="D172" s="90" t="str">
        <f>VLOOKUP(C172,'do průběžek'!$A$2:$D$246,2,FALSE)</f>
        <v>PO kraje</v>
      </c>
      <c r="E172" s="90" t="str">
        <f>VLOOKUP(C172,'do průběžek'!$A$2:$D$246,3,FALSE)</f>
        <v>§50 - Domovy se zvláštním režimem</v>
      </c>
      <c r="F172" s="90" t="str">
        <f>VLOOKUP(C172,'do průběžek'!$A$2:$D$246,4,FALSE)</f>
        <v>pobytová</v>
      </c>
      <c r="G172" s="90">
        <f>VLOOKUP(C172,'do průběžek'!$H$2:$J$246,2,FALSE)</f>
        <v>30.25</v>
      </c>
      <c r="H172" s="90">
        <f>VLOOKUP(C172,'do průběžek'!$H$2:$J$246,3,FALSE)</f>
        <v>45</v>
      </c>
      <c r="I172" s="91">
        <v>27182110</v>
      </c>
      <c r="J172" s="91">
        <v>19927909</v>
      </c>
      <c r="K172" s="91">
        <v>12904390</v>
      </c>
      <c r="L172" s="91">
        <v>10996080</v>
      </c>
      <c r="M172" s="91">
        <v>1908310</v>
      </c>
      <c r="N172" s="91">
        <v>0</v>
      </c>
      <c r="O172" s="91">
        <v>0</v>
      </c>
      <c r="P172" s="91">
        <v>0</v>
      </c>
      <c r="Q172" s="91">
        <v>0</v>
      </c>
      <c r="R172" s="91">
        <v>0</v>
      </c>
      <c r="S172" s="91">
        <v>0</v>
      </c>
      <c r="T172" s="91">
        <v>0</v>
      </c>
      <c r="U172" s="91">
        <v>0</v>
      </c>
      <c r="V172" s="91">
        <v>0</v>
      </c>
      <c r="W172" s="91">
        <v>0</v>
      </c>
      <c r="X172" s="91">
        <v>0</v>
      </c>
      <c r="Y172" s="91">
        <v>7023519</v>
      </c>
      <c r="Z172" s="91">
        <v>5558520</v>
      </c>
      <c r="AA172" s="91">
        <v>0</v>
      </c>
      <c r="AB172" s="91">
        <v>1411406</v>
      </c>
      <c r="AC172" s="91">
        <v>0</v>
      </c>
      <c r="AD172" s="91">
        <v>0</v>
      </c>
      <c r="AE172" s="91">
        <v>0</v>
      </c>
      <c r="AF172" s="91">
        <v>0</v>
      </c>
      <c r="AG172" s="91">
        <v>53593</v>
      </c>
      <c r="AH172" s="91">
        <v>2767811</v>
      </c>
      <c r="AI172" s="91">
        <v>233085</v>
      </c>
      <c r="AJ172" s="91">
        <v>237691</v>
      </c>
      <c r="AK172" s="91">
        <v>2233015</v>
      </c>
      <c r="AL172" s="91">
        <v>64020</v>
      </c>
    </row>
    <row r="173" spans="1:38" ht="46.5" hidden="1" x14ac:dyDescent="0.25">
      <c r="A173" s="89" t="s">
        <v>532</v>
      </c>
      <c r="B173" s="90" t="s">
        <v>705</v>
      </c>
      <c r="C173" s="90">
        <v>9835515</v>
      </c>
      <c r="D173" s="90" t="str">
        <f>VLOOKUP(C173,'do průběžek'!$A$2:$D$246,2,FALSE)</f>
        <v>PO kraje</v>
      </c>
      <c r="E173" s="90" t="str">
        <f>VLOOKUP(C173,'do průběžek'!$A$2:$D$246,3,FALSE)</f>
        <v>§50 - Domovy se zvláštním režimem</v>
      </c>
      <c r="F173" s="90" t="str">
        <f>VLOOKUP(C173,'do průběžek'!$A$2:$D$246,4,FALSE)</f>
        <v>pobytová</v>
      </c>
      <c r="G173" s="90">
        <f>VLOOKUP(C173,'do průběžek'!$H$2:$J$246,2,FALSE)</f>
        <v>44</v>
      </c>
      <c r="H173" s="90">
        <f>VLOOKUP(C173,'do průběžek'!$H$2:$J$246,3,FALSE)</f>
        <v>80</v>
      </c>
      <c r="I173" s="91">
        <v>38293565</v>
      </c>
      <c r="J173" s="91">
        <v>32942793</v>
      </c>
      <c r="K173" s="91">
        <v>20401565</v>
      </c>
      <c r="L173" s="91">
        <v>14933405</v>
      </c>
      <c r="M173" s="91">
        <v>5468160</v>
      </c>
      <c r="N173" s="91">
        <v>0</v>
      </c>
      <c r="O173" s="91">
        <v>0</v>
      </c>
      <c r="P173" s="91">
        <v>0</v>
      </c>
      <c r="Q173" s="91">
        <v>0</v>
      </c>
      <c r="R173" s="91">
        <v>0</v>
      </c>
      <c r="S173" s="91">
        <v>0</v>
      </c>
      <c r="T173" s="91">
        <v>0</v>
      </c>
      <c r="U173" s="91">
        <v>0</v>
      </c>
      <c r="V173" s="91">
        <v>0</v>
      </c>
      <c r="W173" s="91">
        <v>0</v>
      </c>
      <c r="X173" s="91">
        <v>0</v>
      </c>
      <c r="Y173" s="91">
        <v>12541228</v>
      </c>
      <c r="Z173" s="91">
        <v>5134873</v>
      </c>
      <c r="AA173" s="91">
        <v>4896160</v>
      </c>
      <c r="AB173" s="91">
        <v>2396874</v>
      </c>
      <c r="AC173" s="91">
        <v>0</v>
      </c>
      <c r="AD173" s="91">
        <v>11590</v>
      </c>
      <c r="AE173" s="91">
        <v>0</v>
      </c>
      <c r="AF173" s="91">
        <v>0</v>
      </c>
      <c r="AG173" s="91">
        <v>101731</v>
      </c>
      <c r="AH173" s="91">
        <v>4511963</v>
      </c>
      <c r="AI173" s="91">
        <v>1039184</v>
      </c>
      <c r="AJ173" s="91">
        <v>0</v>
      </c>
      <c r="AK173" s="91">
        <v>3472779</v>
      </c>
      <c r="AL173" s="91">
        <v>0</v>
      </c>
    </row>
    <row r="174" spans="1:38" ht="46.5" hidden="1" x14ac:dyDescent="0.25">
      <c r="A174" s="89" t="s">
        <v>532</v>
      </c>
      <c r="B174" s="90" t="s">
        <v>706</v>
      </c>
      <c r="C174" s="90">
        <v>9621480</v>
      </c>
      <c r="D174" s="90" t="str">
        <f>VLOOKUP(C174,'do průběžek'!$A$2:$D$246,2,FALSE)</f>
        <v>PO kraje</v>
      </c>
      <c r="E174" s="90" t="str">
        <f>VLOOKUP(C174,'do průběžek'!$A$2:$D$246,3,FALSE)</f>
        <v>§50 - Domovy se zvláštním režimem</v>
      </c>
      <c r="F174" s="90" t="str">
        <f>VLOOKUP(C174,'do průběžek'!$A$2:$D$246,4,FALSE)</f>
        <v>pobytová</v>
      </c>
      <c r="G174" s="90">
        <f>VLOOKUP(C174,'do průběžek'!$H$2:$J$246,2,FALSE)</f>
        <v>32.74</v>
      </c>
      <c r="H174" s="90">
        <f>VLOOKUP(C174,'do průběžek'!$H$2:$J$246,3,FALSE)</f>
        <v>60</v>
      </c>
      <c r="I174" s="91">
        <v>30043924</v>
      </c>
      <c r="J174" s="91">
        <v>24727916</v>
      </c>
      <c r="K174" s="91">
        <v>15510499</v>
      </c>
      <c r="L174" s="91">
        <v>14202858</v>
      </c>
      <c r="M174" s="91">
        <v>1284793</v>
      </c>
      <c r="N174" s="91">
        <v>0</v>
      </c>
      <c r="O174" s="91">
        <v>0</v>
      </c>
      <c r="P174" s="91">
        <v>0</v>
      </c>
      <c r="Q174" s="91">
        <v>0</v>
      </c>
      <c r="R174" s="91">
        <v>0</v>
      </c>
      <c r="S174" s="91">
        <v>22848</v>
      </c>
      <c r="T174" s="91">
        <v>0</v>
      </c>
      <c r="U174" s="91">
        <v>0</v>
      </c>
      <c r="V174" s="91">
        <v>0</v>
      </c>
      <c r="W174" s="91">
        <v>0</v>
      </c>
      <c r="X174" s="91">
        <v>0</v>
      </c>
      <c r="Y174" s="91">
        <v>9217417</v>
      </c>
      <c r="Z174" s="91">
        <v>6763574</v>
      </c>
      <c r="AA174" s="91">
        <v>0</v>
      </c>
      <c r="AB174" s="91">
        <v>2310525</v>
      </c>
      <c r="AC174" s="91">
        <v>0</v>
      </c>
      <c r="AD174" s="91">
        <v>22000</v>
      </c>
      <c r="AE174" s="91">
        <v>0</v>
      </c>
      <c r="AF174" s="91">
        <v>0</v>
      </c>
      <c r="AG174" s="91">
        <v>121318</v>
      </c>
      <c r="AH174" s="91">
        <v>2855833</v>
      </c>
      <c r="AI174" s="91">
        <v>226318</v>
      </c>
      <c r="AJ174" s="91">
        <v>126843</v>
      </c>
      <c r="AK174" s="91">
        <v>2437488</v>
      </c>
      <c r="AL174" s="91">
        <v>65184</v>
      </c>
    </row>
    <row r="175" spans="1:38" ht="46.5" hidden="1" x14ac:dyDescent="0.25">
      <c r="A175" s="89" t="s">
        <v>532</v>
      </c>
      <c r="B175" s="90" t="s">
        <v>707</v>
      </c>
      <c r="C175" s="90">
        <v>7326055</v>
      </c>
      <c r="D175" s="90" t="str">
        <f>VLOOKUP(C175,'do průběžek'!$A$2:$D$246,2,FALSE)</f>
        <v>PO kraje</v>
      </c>
      <c r="E175" s="90" t="str">
        <f>VLOOKUP(C175,'do průběžek'!$A$2:$D$246,3,FALSE)</f>
        <v>§50 - Domovy se zvláštním režimem</v>
      </c>
      <c r="F175" s="90" t="str">
        <f>VLOOKUP(C175,'do průběžek'!$A$2:$D$246,4,FALSE)</f>
        <v>pobytová</v>
      </c>
      <c r="G175" s="90">
        <f>VLOOKUP(C175,'do průběžek'!$H$2:$J$246,2,FALSE)</f>
        <v>25</v>
      </c>
      <c r="H175" s="90">
        <f>VLOOKUP(C175,'do průběžek'!$H$2:$J$246,3,FALSE)</f>
        <v>34</v>
      </c>
      <c r="I175" s="91">
        <v>15586796</v>
      </c>
      <c r="J175" s="91">
        <v>14333584</v>
      </c>
      <c r="K175" s="91">
        <v>9241046</v>
      </c>
      <c r="L175" s="91">
        <v>7180352</v>
      </c>
      <c r="M175" s="91">
        <v>2060694</v>
      </c>
      <c r="N175" s="91">
        <v>0</v>
      </c>
      <c r="O175" s="91">
        <v>0</v>
      </c>
      <c r="P175" s="91">
        <v>0</v>
      </c>
      <c r="Q175" s="91">
        <v>0</v>
      </c>
      <c r="R175" s="91">
        <v>0</v>
      </c>
      <c r="S175" s="91">
        <v>0</v>
      </c>
      <c r="T175" s="91">
        <v>0</v>
      </c>
      <c r="U175" s="91">
        <v>0</v>
      </c>
      <c r="V175" s="91">
        <v>0</v>
      </c>
      <c r="W175" s="91">
        <v>0</v>
      </c>
      <c r="X175" s="91">
        <v>0</v>
      </c>
      <c r="Y175" s="91">
        <v>5092538</v>
      </c>
      <c r="Z175" s="91">
        <v>1933225</v>
      </c>
      <c r="AA175" s="91">
        <v>2179329</v>
      </c>
      <c r="AB175" s="91">
        <v>674963</v>
      </c>
      <c r="AC175" s="91">
        <v>0</v>
      </c>
      <c r="AD175" s="91">
        <v>20540</v>
      </c>
      <c r="AE175" s="91">
        <v>0</v>
      </c>
      <c r="AF175" s="91">
        <v>0</v>
      </c>
      <c r="AG175" s="91">
        <v>284481</v>
      </c>
      <c r="AH175" s="91">
        <v>2587494</v>
      </c>
      <c r="AI175" s="91">
        <v>669853</v>
      </c>
      <c r="AJ175" s="91">
        <v>164884</v>
      </c>
      <c r="AK175" s="91">
        <v>1558369</v>
      </c>
      <c r="AL175" s="91">
        <v>194388</v>
      </c>
    </row>
    <row r="176" spans="1:38" ht="46.5" hidden="1" x14ac:dyDescent="0.25">
      <c r="A176" s="89" t="s">
        <v>532</v>
      </c>
      <c r="B176" s="90" t="s">
        <v>708</v>
      </c>
      <c r="C176" s="90">
        <v>2572767</v>
      </c>
      <c r="D176" s="90" t="str">
        <f>VLOOKUP(C176,'do průběžek'!$A$2:$D$246,2,FALSE)</f>
        <v>Obecně prospěšná společnost</v>
      </c>
      <c r="E176" s="90" t="str">
        <f>VLOOKUP(C176,'do průběžek'!$A$2:$D$246,3,FALSE)</f>
        <v>§50 - Domovy se zvláštním režimem</v>
      </c>
      <c r="F176" s="90" t="str">
        <f>VLOOKUP(C176,'do průběžek'!$A$2:$D$246,4,FALSE)</f>
        <v>pobytová</v>
      </c>
      <c r="G176" s="90">
        <f>VLOOKUP(C176,'do průběžek'!$H$2:$J$246,2,FALSE)</f>
        <v>19</v>
      </c>
      <c r="H176" s="90">
        <f>VLOOKUP(C176,'do průběžek'!$H$2:$J$246,3,FALSE)</f>
        <v>36</v>
      </c>
      <c r="I176" s="91">
        <v>20353954</v>
      </c>
      <c r="J176" s="91">
        <v>13280692</v>
      </c>
      <c r="K176" s="91">
        <v>8619063</v>
      </c>
      <c r="L176" s="91">
        <v>7986000</v>
      </c>
      <c r="M176" s="91">
        <v>0</v>
      </c>
      <c r="N176" s="91">
        <v>0</v>
      </c>
      <c r="O176" s="91">
        <v>0</v>
      </c>
      <c r="P176" s="91">
        <v>0</v>
      </c>
      <c r="Q176" s="91">
        <v>0</v>
      </c>
      <c r="R176" s="91">
        <v>0</v>
      </c>
      <c r="S176" s="91">
        <v>633063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4661629</v>
      </c>
      <c r="Z176" s="91">
        <v>2886200</v>
      </c>
      <c r="AA176" s="91">
        <v>10200</v>
      </c>
      <c r="AB176" s="91">
        <v>1417943</v>
      </c>
      <c r="AC176" s="91">
        <v>0</v>
      </c>
      <c r="AD176" s="91">
        <v>0</v>
      </c>
      <c r="AE176" s="91">
        <v>347286</v>
      </c>
      <c r="AF176" s="91">
        <v>0</v>
      </c>
      <c r="AG176" s="91">
        <v>0</v>
      </c>
      <c r="AH176" s="91">
        <v>3720586</v>
      </c>
      <c r="AI176" s="91">
        <v>168396</v>
      </c>
      <c r="AJ176" s="91">
        <v>1806008</v>
      </c>
      <c r="AK176" s="91">
        <v>1708546</v>
      </c>
      <c r="AL176" s="91">
        <v>37636</v>
      </c>
    </row>
    <row r="177" spans="1:38" ht="46.5" hidden="1" x14ac:dyDescent="0.25">
      <c r="A177" s="89" t="s">
        <v>532</v>
      </c>
      <c r="B177" s="90" t="s">
        <v>709</v>
      </c>
      <c r="C177" s="90">
        <v>5391602</v>
      </c>
      <c r="D177" s="90" t="str">
        <f>VLOOKUP(C177,'do průběžek'!$A$2:$D$246,2,FALSE)</f>
        <v>Ústav</v>
      </c>
      <c r="E177" s="90" t="str">
        <f>VLOOKUP(C177,'do průběžek'!$A$2:$D$246,3,FALSE)</f>
        <v>§50 - Domovy se zvláštním režimem</v>
      </c>
      <c r="F177" s="90" t="str">
        <f>VLOOKUP(C177,'do průběžek'!$A$2:$D$246,4,FALSE)</f>
        <v>pobytová</v>
      </c>
      <c r="G177" s="90">
        <f>VLOOKUP(C177,'do průběžek'!$H$2:$J$246,2,FALSE)</f>
        <v>20.399999999999999</v>
      </c>
      <c r="H177" s="90">
        <f>VLOOKUP(C177,'do průběžek'!$H$2:$J$246,3,FALSE)</f>
        <v>36</v>
      </c>
      <c r="I177" s="91">
        <v>17993954.149999999</v>
      </c>
      <c r="J177" s="91">
        <v>13093698</v>
      </c>
      <c r="K177" s="91">
        <v>8090322</v>
      </c>
      <c r="L177" s="91">
        <v>7448471</v>
      </c>
      <c r="M177" s="91">
        <v>0</v>
      </c>
      <c r="N177" s="91">
        <v>0</v>
      </c>
      <c r="O177" s="91">
        <v>0</v>
      </c>
      <c r="P177" s="91">
        <v>0</v>
      </c>
      <c r="Q177" s="91">
        <v>0</v>
      </c>
      <c r="R177" s="91">
        <v>0</v>
      </c>
      <c r="S177" s="91">
        <v>641851</v>
      </c>
      <c r="T177" s="91">
        <v>0</v>
      </c>
      <c r="U177" s="91">
        <v>0</v>
      </c>
      <c r="V177" s="91">
        <v>0</v>
      </c>
      <c r="W177" s="91">
        <v>0</v>
      </c>
      <c r="X177" s="91">
        <v>0</v>
      </c>
      <c r="Y177" s="91">
        <v>5003376</v>
      </c>
      <c r="Z177" s="91">
        <v>4576909</v>
      </c>
      <c r="AA177" s="91">
        <v>0</v>
      </c>
      <c r="AB177" s="91">
        <v>314509</v>
      </c>
      <c r="AC177" s="91">
        <v>0</v>
      </c>
      <c r="AD177" s="91">
        <v>0</v>
      </c>
      <c r="AE177" s="91">
        <v>111958</v>
      </c>
      <c r="AF177" s="91">
        <v>0</v>
      </c>
      <c r="AG177" s="91">
        <v>0</v>
      </c>
      <c r="AH177" s="91">
        <v>1823198</v>
      </c>
      <c r="AI177" s="91">
        <v>106918</v>
      </c>
      <c r="AJ177" s="91">
        <v>260937</v>
      </c>
      <c r="AK177" s="91">
        <v>1455343</v>
      </c>
      <c r="AL177" s="91">
        <v>0</v>
      </c>
    </row>
    <row r="178" spans="1:38" ht="46.5" hidden="1" x14ac:dyDescent="0.25">
      <c r="A178" s="89" t="s">
        <v>532</v>
      </c>
      <c r="B178" s="90" t="s">
        <v>710</v>
      </c>
      <c r="C178" s="90">
        <v>2308616</v>
      </c>
      <c r="D178" s="90" t="str">
        <f>VLOOKUP(C178,'do průběžek'!$A$2:$D$246,2,FALSE)</f>
        <v>Příspěvková organizace zřízená územním samosprávným celkem</v>
      </c>
      <c r="E178" s="90" t="str">
        <f>VLOOKUP(C178,'do průběžek'!$A$2:$D$246,3,FALSE)</f>
        <v>§50 - Domovy se zvláštním režimem</v>
      </c>
      <c r="F178" s="90" t="str">
        <f>VLOOKUP(C178,'do průběžek'!$A$2:$D$246,4,FALSE)</f>
        <v>pobytová</v>
      </c>
      <c r="G178" s="90">
        <f>VLOOKUP(C178,'do průběžek'!$H$2:$J$246,2,FALSE)</f>
        <v>34.5</v>
      </c>
      <c r="H178" s="90">
        <f>VLOOKUP(C178,'do průběžek'!$H$2:$J$246,3,FALSE)</f>
        <v>54</v>
      </c>
      <c r="I178" s="91">
        <v>26930931</v>
      </c>
      <c r="J178" s="91">
        <v>20876538</v>
      </c>
      <c r="K178" s="91">
        <v>13620000</v>
      </c>
      <c r="L178" s="91">
        <v>10030000</v>
      </c>
      <c r="M178" s="91">
        <v>0</v>
      </c>
      <c r="N178" s="91">
        <v>0</v>
      </c>
      <c r="O178" s="91">
        <v>0</v>
      </c>
      <c r="P178" s="91">
        <v>0</v>
      </c>
      <c r="Q178" s="91">
        <v>0</v>
      </c>
      <c r="R178" s="91">
        <v>0</v>
      </c>
      <c r="S178" s="91">
        <v>0</v>
      </c>
      <c r="T178" s="91">
        <v>3590000</v>
      </c>
      <c r="U178" s="91">
        <v>0</v>
      </c>
      <c r="V178" s="91">
        <v>0</v>
      </c>
      <c r="W178" s="91">
        <v>0</v>
      </c>
      <c r="X178" s="91">
        <v>0</v>
      </c>
      <c r="Y178" s="91">
        <v>7256538</v>
      </c>
      <c r="Z178" s="91">
        <v>3049844</v>
      </c>
      <c r="AA178" s="91">
        <v>3242062</v>
      </c>
      <c r="AB178" s="91">
        <v>731292</v>
      </c>
      <c r="AC178" s="91">
        <v>0</v>
      </c>
      <c r="AD178" s="91">
        <v>0</v>
      </c>
      <c r="AE178" s="91">
        <v>18970</v>
      </c>
      <c r="AF178" s="91">
        <v>0</v>
      </c>
      <c r="AG178" s="91">
        <v>214370</v>
      </c>
      <c r="AH178" s="91">
        <v>3495932</v>
      </c>
      <c r="AI178" s="91">
        <v>274891</v>
      </c>
      <c r="AJ178" s="91">
        <v>709920</v>
      </c>
      <c r="AK178" s="91">
        <v>2511121</v>
      </c>
      <c r="AL178" s="91">
        <v>0</v>
      </c>
    </row>
    <row r="179" spans="1:38" ht="46.5" hidden="1" x14ac:dyDescent="0.25">
      <c r="A179" s="89" t="s">
        <v>532</v>
      </c>
      <c r="B179" s="90" t="s">
        <v>711</v>
      </c>
      <c r="C179" s="90">
        <v>9274680</v>
      </c>
      <c r="D179" s="90" t="str">
        <f>VLOOKUP(C179,'do průběžek'!$A$2:$D$246,2,FALSE)</f>
        <v>Příspěvková organizace zřízená územním samosprávným celkem</v>
      </c>
      <c r="E179" s="90" t="str">
        <f>VLOOKUP(C179,'do průběžek'!$A$2:$D$246,3,FALSE)</f>
        <v>§50 - Domovy se zvláštním režimem</v>
      </c>
      <c r="F179" s="90" t="str">
        <f>VLOOKUP(C179,'do průběžek'!$A$2:$D$246,4,FALSE)</f>
        <v>pobytová</v>
      </c>
      <c r="G179" s="90">
        <f>VLOOKUP(C179,'do průběžek'!$H$2:$J$246,2,FALSE)</f>
        <v>18.89</v>
      </c>
      <c r="H179" s="90">
        <f>VLOOKUP(C179,'do průběžek'!$H$2:$J$246,3,FALSE)</f>
        <v>24</v>
      </c>
      <c r="I179" s="91">
        <v>12452969</v>
      </c>
      <c r="J179" s="91">
        <v>12097495.279999999</v>
      </c>
      <c r="K179" s="91">
        <v>8989400</v>
      </c>
      <c r="L179" s="91">
        <v>5453400</v>
      </c>
      <c r="M179" s="91">
        <v>0</v>
      </c>
      <c r="N179" s="91">
        <v>0</v>
      </c>
      <c r="O179" s="91">
        <v>0</v>
      </c>
      <c r="P179" s="91">
        <v>0</v>
      </c>
      <c r="Q179" s="91">
        <v>0</v>
      </c>
      <c r="R179" s="91">
        <v>0</v>
      </c>
      <c r="S179" s="91">
        <v>0</v>
      </c>
      <c r="T179" s="91">
        <v>3536000</v>
      </c>
      <c r="U179" s="91">
        <v>0</v>
      </c>
      <c r="V179" s="91">
        <v>0</v>
      </c>
      <c r="W179" s="91">
        <v>0</v>
      </c>
      <c r="X179" s="91">
        <v>0</v>
      </c>
      <c r="Y179" s="91">
        <v>3108095.28</v>
      </c>
      <c r="Z179" s="91">
        <v>2163431</v>
      </c>
      <c r="AA179" s="91">
        <v>0</v>
      </c>
      <c r="AB179" s="91">
        <v>921451.07</v>
      </c>
      <c r="AC179" s="91">
        <v>0</v>
      </c>
      <c r="AD179" s="91">
        <v>16187.76</v>
      </c>
      <c r="AE179" s="91">
        <v>0</v>
      </c>
      <c r="AF179" s="91">
        <v>0</v>
      </c>
      <c r="AG179" s="91">
        <v>7025.45</v>
      </c>
      <c r="AH179" s="91">
        <v>1923221</v>
      </c>
      <c r="AI179" s="91">
        <v>200661</v>
      </c>
      <c r="AJ179" s="91">
        <v>0</v>
      </c>
      <c r="AK179" s="91">
        <v>1722560</v>
      </c>
      <c r="AL179" s="91">
        <v>0</v>
      </c>
    </row>
    <row r="180" spans="1:38" ht="46.5" hidden="1" x14ac:dyDescent="0.25">
      <c r="A180" s="89" t="s">
        <v>532</v>
      </c>
      <c r="B180" s="90" t="s">
        <v>712</v>
      </c>
      <c r="C180" s="90">
        <v>7044506</v>
      </c>
      <c r="D180" s="90" t="str">
        <f>VLOOKUP(C180,'do průběžek'!$A$2:$D$246,2,FALSE)</f>
        <v>Obecně prospěšná společnost</v>
      </c>
      <c r="E180" s="90" t="str">
        <f>VLOOKUP(C180,'do průběžek'!$A$2:$D$246,3,FALSE)</f>
        <v>§51 - Chráněné bydlení</v>
      </c>
      <c r="F180" s="90" t="str">
        <f>VLOOKUP(C180,'do průběžek'!$A$2:$D$246,4,FALSE)</f>
        <v>pobytová</v>
      </c>
      <c r="G180" s="90">
        <f>VLOOKUP(C180,'do průběžek'!$H$2:$J$246,2,FALSE)</f>
        <v>17.75</v>
      </c>
      <c r="H180" s="90">
        <f>VLOOKUP(C180,'do průběžek'!$H$2:$J$246,3,FALSE)</f>
        <v>52</v>
      </c>
      <c r="I180" s="91">
        <v>20124795</v>
      </c>
      <c r="J180" s="91">
        <v>10732360</v>
      </c>
      <c r="K180" s="91">
        <v>7403200</v>
      </c>
      <c r="L180" s="91">
        <v>7053200</v>
      </c>
      <c r="M180" s="91">
        <v>0</v>
      </c>
      <c r="N180" s="91">
        <v>0</v>
      </c>
      <c r="O180" s="91">
        <v>0</v>
      </c>
      <c r="P180" s="91">
        <v>0</v>
      </c>
      <c r="Q180" s="91">
        <v>0</v>
      </c>
      <c r="R180" s="91">
        <v>0</v>
      </c>
      <c r="S180" s="91">
        <v>350000</v>
      </c>
      <c r="T180" s="91">
        <v>0</v>
      </c>
      <c r="U180" s="91">
        <v>0</v>
      </c>
      <c r="V180" s="91">
        <v>0</v>
      </c>
      <c r="W180" s="91">
        <v>0</v>
      </c>
      <c r="X180" s="91">
        <v>0</v>
      </c>
      <c r="Y180" s="91">
        <v>3329160</v>
      </c>
      <c r="Z180" s="91">
        <v>3247163</v>
      </c>
      <c r="AA180" s="91">
        <v>81997</v>
      </c>
      <c r="AB180" s="91">
        <v>0</v>
      </c>
      <c r="AC180" s="91">
        <v>0</v>
      </c>
      <c r="AD180" s="91">
        <v>0</v>
      </c>
      <c r="AE180" s="91">
        <v>0</v>
      </c>
      <c r="AF180" s="91">
        <v>0</v>
      </c>
      <c r="AG180" s="91">
        <v>0</v>
      </c>
      <c r="AH180" s="91">
        <v>1316324</v>
      </c>
      <c r="AI180" s="91">
        <v>0</v>
      </c>
      <c r="AJ180" s="91">
        <v>0</v>
      </c>
      <c r="AK180" s="91">
        <v>1316324</v>
      </c>
      <c r="AL180" s="91">
        <v>0</v>
      </c>
    </row>
    <row r="181" spans="1:38" ht="46.5" hidden="1" x14ac:dyDescent="0.25">
      <c r="A181" s="89" t="s">
        <v>532</v>
      </c>
      <c r="B181" s="90" t="s">
        <v>713</v>
      </c>
      <c r="C181" s="90">
        <v>4890597</v>
      </c>
      <c r="D181" s="90" t="str">
        <f>VLOOKUP(C181,'do průběžek'!$A$2:$D$246,2,FALSE)</f>
        <v>PO kraje</v>
      </c>
      <c r="E181" s="90" t="str">
        <f>VLOOKUP(C181,'do průběžek'!$A$2:$D$246,3,FALSE)</f>
        <v>§51 - Chráněné bydlení</v>
      </c>
      <c r="F181" s="90" t="str">
        <f>VLOOKUP(C181,'do průběžek'!$A$2:$D$246,4,FALSE)</f>
        <v>pobytová</v>
      </c>
      <c r="G181" s="90">
        <f>VLOOKUP(C181,'do průběžek'!$H$2:$J$246,2,FALSE)</f>
        <v>3.3</v>
      </c>
      <c r="H181" s="90">
        <f>VLOOKUP(C181,'do průběžek'!$H$2:$J$246,3,FALSE)</f>
        <v>11</v>
      </c>
      <c r="I181" s="91">
        <v>3378515</v>
      </c>
      <c r="J181" s="91">
        <v>4079684</v>
      </c>
      <c r="K181" s="91">
        <v>3315400</v>
      </c>
      <c r="L181" s="91">
        <v>1915400</v>
      </c>
      <c r="M181" s="91">
        <v>1400000</v>
      </c>
      <c r="N181" s="91">
        <v>0</v>
      </c>
      <c r="O181" s="91">
        <v>0</v>
      </c>
      <c r="P181" s="91">
        <v>0</v>
      </c>
      <c r="Q181" s="91">
        <v>0</v>
      </c>
      <c r="R181" s="91">
        <v>0</v>
      </c>
      <c r="S181" s="91">
        <v>0</v>
      </c>
      <c r="T181" s="91">
        <v>0</v>
      </c>
      <c r="U181" s="91">
        <v>0</v>
      </c>
      <c r="V181" s="91">
        <v>0</v>
      </c>
      <c r="W181" s="91">
        <v>0</v>
      </c>
      <c r="X181" s="91">
        <v>0</v>
      </c>
      <c r="Y181" s="91">
        <v>764284</v>
      </c>
      <c r="Z181" s="91">
        <v>745926</v>
      </c>
      <c r="AA181" s="91">
        <v>0</v>
      </c>
      <c r="AB181" s="91">
        <v>0</v>
      </c>
      <c r="AC181" s="91">
        <v>0</v>
      </c>
      <c r="AD181" s="91">
        <v>0</v>
      </c>
      <c r="AE181" s="91">
        <v>18358</v>
      </c>
      <c r="AF181" s="91">
        <v>0</v>
      </c>
      <c r="AG181" s="91">
        <v>0</v>
      </c>
      <c r="AH181" s="91">
        <v>405868</v>
      </c>
      <c r="AI181" s="91">
        <v>164547</v>
      </c>
      <c r="AJ181" s="91">
        <v>0</v>
      </c>
      <c r="AK181" s="91">
        <v>241321</v>
      </c>
      <c r="AL181" s="91">
        <v>0</v>
      </c>
    </row>
    <row r="182" spans="1:38" ht="46.5" hidden="1" x14ac:dyDescent="0.25">
      <c r="A182" s="89" t="s">
        <v>532</v>
      </c>
      <c r="B182" s="90" t="s">
        <v>714</v>
      </c>
      <c r="C182" s="90">
        <v>3865693</v>
      </c>
      <c r="D182" s="90" t="str">
        <f>VLOOKUP(C182,'do průběžek'!$A$2:$D$246,2,FALSE)</f>
        <v>Obecně prospěšná společnost</v>
      </c>
      <c r="E182" s="90" t="str">
        <f>VLOOKUP(C182,'do průběžek'!$A$2:$D$246,3,FALSE)</f>
        <v>§51 - Chráněné bydlení</v>
      </c>
      <c r="F182" s="90" t="str">
        <f>VLOOKUP(C182,'do průběžek'!$A$2:$D$246,4,FALSE)</f>
        <v>pobytová</v>
      </c>
      <c r="G182" s="90">
        <f>VLOOKUP(C182,'do průběžek'!$H$2:$J$246,2,FALSE)</f>
        <v>8.5</v>
      </c>
      <c r="H182" s="90">
        <f>VLOOKUP(C182,'do průběžek'!$H$2:$J$246,3,FALSE)</f>
        <v>32</v>
      </c>
      <c r="I182" s="91">
        <v>10514103</v>
      </c>
      <c r="J182" s="91">
        <v>6248501</v>
      </c>
      <c r="K182" s="91">
        <v>5220763</v>
      </c>
      <c r="L182" s="91">
        <v>4569000</v>
      </c>
      <c r="M182" s="91">
        <v>0</v>
      </c>
      <c r="N182" s="91">
        <v>219000</v>
      </c>
      <c r="O182" s="91">
        <v>0</v>
      </c>
      <c r="P182" s="91">
        <v>0</v>
      </c>
      <c r="Q182" s="91">
        <v>0</v>
      </c>
      <c r="R182" s="91">
        <v>0</v>
      </c>
      <c r="S182" s="91">
        <v>331176</v>
      </c>
      <c r="T182" s="91">
        <v>0</v>
      </c>
      <c r="U182" s="91">
        <v>0</v>
      </c>
      <c r="V182" s="91">
        <v>101587</v>
      </c>
      <c r="W182" s="91">
        <v>0</v>
      </c>
      <c r="X182" s="91">
        <v>0</v>
      </c>
      <c r="Y182" s="91">
        <v>1027738</v>
      </c>
      <c r="Z182" s="91">
        <v>1027738</v>
      </c>
      <c r="AA182" s="91">
        <v>0</v>
      </c>
      <c r="AB182" s="91">
        <v>0</v>
      </c>
      <c r="AC182" s="91">
        <v>0</v>
      </c>
      <c r="AD182" s="91">
        <v>0</v>
      </c>
      <c r="AE182" s="91">
        <v>0</v>
      </c>
      <c r="AF182" s="91">
        <v>0</v>
      </c>
      <c r="AG182" s="91">
        <v>0</v>
      </c>
      <c r="AH182" s="91">
        <v>418813</v>
      </c>
      <c r="AI182" s="91">
        <v>0</v>
      </c>
      <c r="AJ182" s="91">
        <v>0</v>
      </c>
      <c r="AK182" s="91">
        <v>418813</v>
      </c>
      <c r="AL182" s="91">
        <v>0</v>
      </c>
    </row>
    <row r="183" spans="1:38" ht="46.5" hidden="1" x14ac:dyDescent="0.25">
      <c r="A183" s="89" t="s">
        <v>532</v>
      </c>
      <c r="B183" s="90" t="s">
        <v>715</v>
      </c>
      <c r="C183" s="90">
        <v>5227172</v>
      </c>
      <c r="D183" s="90" t="str">
        <f>VLOOKUP(C183,'do průběžek'!$A$2:$D$246,2,FALSE)</f>
        <v>Ústav</v>
      </c>
      <c r="E183" s="90" t="str">
        <f>VLOOKUP(C183,'do průběžek'!$A$2:$D$246,3,FALSE)</f>
        <v>§51 - Chráněné bydlení</v>
      </c>
      <c r="F183" s="90" t="str">
        <f>VLOOKUP(C183,'do průběžek'!$A$2:$D$246,4,FALSE)</f>
        <v>pobytová</v>
      </c>
      <c r="G183" s="90">
        <f>VLOOKUP(C183,'do průběžek'!$H$2:$J$246,2,FALSE)</f>
        <v>16.600000000000001</v>
      </c>
      <c r="H183" s="90">
        <f>VLOOKUP(C183,'do průběžek'!$H$2:$J$246,3,FALSE)</f>
        <v>29</v>
      </c>
      <c r="I183" s="91">
        <v>9852000</v>
      </c>
      <c r="J183" s="91">
        <v>10106092</v>
      </c>
      <c r="K183" s="91">
        <v>8786092</v>
      </c>
      <c r="L183" s="91">
        <v>7908000</v>
      </c>
      <c r="M183" s="91">
        <v>0</v>
      </c>
      <c r="N183" s="91">
        <v>290000</v>
      </c>
      <c r="O183" s="91">
        <v>0</v>
      </c>
      <c r="P183" s="91">
        <v>0</v>
      </c>
      <c r="Q183" s="91">
        <v>0</v>
      </c>
      <c r="R183" s="91">
        <v>0</v>
      </c>
      <c r="S183" s="91">
        <v>588092</v>
      </c>
      <c r="T183" s="91">
        <v>0</v>
      </c>
      <c r="U183" s="91">
        <v>0</v>
      </c>
      <c r="V183" s="91">
        <v>0</v>
      </c>
      <c r="W183" s="91">
        <v>0</v>
      </c>
      <c r="X183" s="91">
        <v>0</v>
      </c>
      <c r="Y183" s="91">
        <v>1320000</v>
      </c>
      <c r="Z183" s="91">
        <v>1320000</v>
      </c>
      <c r="AA183" s="91">
        <v>0</v>
      </c>
      <c r="AB183" s="91">
        <v>0</v>
      </c>
      <c r="AC183" s="91">
        <v>0</v>
      </c>
      <c r="AD183" s="91">
        <v>0</v>
      </c>
      <c r="AE183" s="91">
        <v>0</v>
      </c>
      <c r="AF183" s="91">
        <v>0</v>
      </c>
      <c r="AG183" s="91">
        <v>0</v>
      </c>
      <c r="AH183" s="91">
        <v>947757</v>
      </c>
      <c r="AI183" s="91">
        <v>127474</v>
      </c>
      <c r="AJ183" s="91">
        <v>0</v>
      </c>
      <c r="AK183" s="91">
        <v>820283</v>
      </c>
      <c r="AL183" s="91">
        <v>0</v>
      </c>
    </row>
    <row r="184" spans="1:38" ht="55.5" hidden="1" x14ac:dyDescent="0.25">
      <c r="A184" s="89" t="s">
        <v>532</v>
      </c>
      <c r="B184" s="90" t="s">
        <v>716</v>
      </c>
      <c r="C184" s="90">
        <v>3702507</v>
      </c>
      <c r="D184" s="90" t="str">
        <f>VLOOKUP(C184,'do průběžek'!$A$2:$D$246,2,FALSE)</f>
        <v>Příspěvková organizace zřízená územním samosprávným celkem</v>
      </c>
      <c r="E184" s="90" t="str">
        <f>VLOOKUP(C184,'do průběžek'!$A$2:$D$246,3,FALSE)</f>
        <v>§52 - Sociální služby poskytované ve zdravotnických zařízeních ústavní péče</v>
      </c>
      <c r="F184" s="90" t="str">
        <f>VLOOKUP(C184,'do průběžek'!$A$2:$D$246,4,FALSE)</f>
        <v>pobytová</v>
      </c>
      <c r="G184" s="90">
        <f>VLOOKUP(C184,'do průběžek'!$H$2:$J$246,2,FALSE)</f>
        <v>3.0300000000000002</v>
      </c>
      <c r="H184" s="90">
        <f>VLOOKUP(C184,'do průběžek'!$H$2:$J$246,3,FALSE)</f>
        <v>5</v>
      </c>
      <c r="I184" s="91">
        <v>1542288</v>
      </c>
      <c r="J184" s="91">
        <v>1166618</v>
      </c>
      <c r="K184" s="91">
        <v>866000</v>
      </c>
      <c r="L184" s="91">
        <v>866000</v>
      </c>
      <c r="M184" s="91">
        <v>0</v>
      </c>
      <c r="N184" s="91">
        <v>0</v>
      </c>
      <c r="O184" s="91">
        <v>0</v>
      </c>
      <c r="P184" s="91">
        <v>0</v>
      </c>
      <c r="Q184" s="91">
        <v>0</v>
      </c>
      <c r="R184" s="91">
        <v>0</v>
      </c>
      <c r="S184" s="91">
        <v>0</v>
      </c>
      <c r="T184" s="91">
        <v>0</v>
      </c>
      <c r="U184" s="91">
        <v>0</v>
      </c>
      <c r="V184" s="91">
        <v>0</v>
      </c>
      <c r="W184" s="91">
        <v>0</v>
      </c>
      <c r="X184" s="91">
        <v>0</v>
      </c>
      <c r="Y184" s="91">
        <v>300618</v>
      </c>
      <c r="Z184" s="91">
        <v>286689</v>
      </c>
      <c r="AA184" s="91">
        <v>0</v>
      </c>
      <c r="AB184" s="91">
        <v>13929</v>
      </c>
      <c r="AC184" s="91">
        <v>0</v>
      </c>
      <c r="AD184" s="91">
        <v>0</v>
      </c>
      <c r="AE184" s="91">
        <v>0</v>
      </c>
      <c r="AF184" s="91">
        <v>0</v>
      </c>
      <c r="AG184" s="91">
        <v>0</v>
      </c>
      <c r="AH184" s="91">
        <v>0</v>
      </c>
      <c r="AI184" s="91">
        <v>0</v>
      </c>
      <c r="AJ184" s="91">
        <v>0</v>
      </c>
      <c r="AK184" s="91">
        <v>0</v>
      </c>
      <c r="AL184" s="91">
        <v>0</v>
      </c>
    </row>
    <row r="185" spans="1:38" ht="55.5" hidden="1" x14ac:dyDescent="0.25">
      <c r="A185" s="89" t="s">
        <v>532</v>
      </c>
      <c r="B185" s="90" t="s">
        <v>717</v>
      </c>
      <c r="C185" s="90">
        <v>3682159</v>
      </c>
      <c r="D185" s="90" t="str">
        <f>VLOOKUP(C185,'do průběžek'!$A$2:$D$246,2,FALSE)</f>
        <v>Příspěvková organizace zřízená územním samosprávným celkem</v>
      </c>
      <c r="E185" s="90" t="str">
        <f>VLOOKUP(C185,'do průběžek'!$A$2:$D$246,3,FALSE)</f>
        <v>§52 - Sociální služby poskytované ve zdravotnických zařízeních ústavní péče</v>
      </c>
      <c r="F185" s="90" t="str">
        <f>VLOOKUP(C185,'do průběžek'!$A$2:$D$246,4,FALSE)</f>
        <v>pobytová</v>
      </c>
      <c r="G185" s="90">
        <f>VLOOKUP(C185,'do průběžek'!$H$2:$J$246,2,FALSE)</f>
        <v>2.5</v>
      </c>
      <c r="H185" s="90">
        <f>VLOOKUP(C185,'do průběžek'!$H$2:$J$246,3,FALSE)</f>
        <v>4</v>
      </c>
      <c r="I185" s="91">
        <v>0</v>
      </c>
      <c r="J185" s="91">
        <v>909624</v>
      </c>
      <c r="K185" s="91">
        <v>709000</v>
      </c>
      <c r="L185" s="91">
        <v>709000</v>
      </c>
      <c r="M185" s="91">
        <v>0</v>
      </c>
      <c r="N185" s="91">
        <v>0</v>
      </c>
      <c r="O185" s="91">
        <v>0</v>
      </c>
      <c r="P185" s="91">
        <v>0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200624</v>
      </c>
      <c r="Z185" s="91">
        <v>75664</v>
      </c>
      <c r="AA185" s="91">
        <v>124960</v>
      </c>
      <c r="AB185" s="91">
        <v>0</v>
      </c>
      <c r="AC185" s="91">
        <v>0</v>
      </c>
      <c r="AD185" s="91">
        <v>0</v>
      </c>
      <c r="AE185" s="91">
        <v>0</v>
      </c>
      <c r="AF185" s="91">
        <v>0</v>
      </c>
      <c r="AG185" s="91">
        <v>0</v>
      </c>
      <c r="AH185" s="91">
        <v>0</v>
      </c>
      <c r="AI185" s="91">
        <v>0</v>
      </c>
      <c r="AJ185" s="91">
        <v>0</v>
      </c>
      <c r="AK185" s="91">
        <v>0</v>
      </c>
      <c r="AL185" s="91">
        <v>0</v>
      </c>
    </row>
    <row r="186" spans="1:38" ht="55.5" hidden="1" x14ac:dyDescent="0.25">
      <c r="A186" s="89" t="s">
        <v>532</v>
      </c>
      <c r="B186" s="90" t="s">
        <v>718</v>
      </c>
      <c r="C186" s="90">
        <v>4501907</v>
      </c>
      <c r="D186" s="90" t="str">
        <f>VLOOKUP(C186,'do průběžek'!$A$2:$D$246,2,FALSE)</f>
        <v>Akciová společnost</v>
      </c>
      <c r="E186" s="90" t="str">
        <f>VLOOKUP(C186,'do průběžek'!$A$2:$D$246,3,FALSE)</f>
        <v>§52 - Sociální služby poskytované ve zdravotnických zařízeních ústavní péče</v>
      </c>
      <c r="F186" s="90" t="str">
        <f>VLOOKUP(C186,'do průběžek'!$A$2:$D$246,4,FALSE)</f>
        <v>pobytová</v>
      </c>
      <c r="G186" s="90">
        <f>VLOOKUP(C186,'do průběžek'!$H$2:$J$246,2,FALSE)</f>
        <v>0.4</v>
      </c>
      <c r="H186" s="90">
        <f>VLOOKUP(C186,'do průběžek'!$H$2:$J$246,3,FALSE)</f>
        <v>5</v>
      </c>
      <c r="I186" s="91">
        <v>0</v>
      </c>
      <c r="J186" s="91">
        <v>750000</v>
      </c>
      <c r="K186" s="91">
        <v>200000</v>
      </c>
      <c r="L186" s="91">
        <v>0</v>
      </c>
      <c r="M186" s="91">
        <v>0</v>
      </c>
      <c r="N186" s="91">
        <v>200000</v>
      </c>
      <c r="O186" s="91">
        <v>0</v>
      </c>
      <c r="P186" s="91">
        <v>0</v>
      </c>
      <c r="Q186" s="91">
        <v>0</v>
      </c>
      <c r="R186" s="91">
        <v>0</v>
      </c>
      <c r="S186" s="91">
        <v>0</v>
      </c>
      <c r="T186" s="91">
        <v>0</v>
      </c>
      <c r="U186" s="91">
        <v>0</v>
      </c>
      <c r="V186" s="91">
        <v>0</v>
      </c>
      <c r="W186" s="91">
        <v>0</v>
      </c>
      <c r="X186" s="91">
        <v>0</v>
      </c>
      <c r="Y186" s="91">
        <v>550000</v>
      </c>
      <c r="Z186" s="91">
        <v>550000</v>
      </c>
      <c r="AA186" s="91">
        <v>0</v>
      </c>
      <c r="AB186" s="91">
        <v>0</v>
      </c>
      <c r="AC186" s="91">
        <v>0</v>
      </c>
      <c r="AD186" s="91">
        <v>0</v>
      </c>
      <c r="AE186" s="91">
        <v>0</v>
      </c>
      <c r="AF186" s="91">
        <v>0</v>
      </c>
      <c r="AG186" s="91">
        <v>0</v>
      </c>
      <c r="AH186" s="91">
        <v>0</v>
      </c>
      <c r="AI186" s="91">
        <v>0</v>
      </c>
      <c r="AJ186" s="91">
        <v>0</v>
      </c>
      <c r="AK186" s="91">
        <v>0</v>
      </c>
      <c r="AL186" s="91">
        <v>0</v>
      </c>
    </row>
    <row r="187" spans="1:38" ht="55.5" hidden="1" x14ac:dyDescent="0.25">
      <c r="A187" s="89" t="s">
        <v>650</v>
      </c>
      <c r="B187" s="90" t="s">
        <v>719</v>
      </c>
      <c r="C187" s="90">
        <v>3959325</v>
      </c>
      <c r="D187" s="90" t="str">
        <f>VLOOKUP(C187,'do průběžek'!$A$2:$D$246,2,FALSE)</f>
        <v>Ústav</v>
      </c>
      <c r="E187" s="90" t="str">
        <f>VLOOKUP(C187,'do průběžek'!$A$2:$D$246,3,FALSE)</f>
        <v>§54 - Raná péče</v>
      </c>
      <c r="F187" s="90" t="str">
        <f>VLOOKUP(C187,'do průběžek'!$A$2:$D$246,4,FALSE)</f>
        <v>ambulantní a terénní</v>
      </c>
      <c r="G187" s="90">
        <f>VLOOKUP(C187,'do průběžek'!$H$2:$J$246,2,FALSE)</f>
        <v>10.8</v>
      </c>
      <c r="H187" s="90">
        <f>VLOOKUP(C187,'do průběžek'!$H$2:$J$246,3,FALSE)</f>
        <v>0</v>
      </c>
      <c r="I187" s="91">
        <v>16474360</v>
      </c>
      <c r="J187" s="91">
        <v>9815521</v>
      </c>
      <c r="K187" s="91">
        <v>9815521</v>
      </c>
      <c r="L187" s="91">
        <v>8095500</v>
      </c>
      <c r="M187" s="91">
        <v>0</v>
      </c>
      <c r="N187" s="91">
        <v>278000</v>
      </c>
      <c r="O187" s="91">
        <v>0</v>
      </c>
      <c r="P187" s="91">
        <v>0</v>
      </c>
      <c r="Q187" s="91">
        <v>0</v>
      </c>
      <c r="R187" s="91">
        <v>0</v>
      </c>
      <c r="S187" s="91">
        <v>1442021</v>
      </c>
      <c r="T187" s="91">
        <v>0</v>
      </c>
      <c r="U187" s="91">
        <v>0</v>
      </c>
      <c r="V187" s="91">
        <v>0</v>
      </c>
      <c r="W187" s="91">
        <v>0</v>
      </c>
      <c r="X187" s="91">
        <v>0</v>
      </c>
      <c r="Y187" s="91">
        <v>0</v>
      </c>
      <c r="Z187" s="91">
        <v>0</v>
      </c>
      <c r="AA187" s="91">
        <v>0</v>
      </c>
      <c r="AB187" s="91">
        <v>0</v>
      </c>
      <c r="AC187" s="91">
        <v>0</v>
      </c>
      <c r="AD187" s="91">
        <v>0</v>
      </c>
      <c r="AE187" s="91">
        <v>0</v>
      </c>
      <c r="AF187" s="91">
        <v>0</v>
      </c>
      <c r="AG187" s="91">
        <v>0</v>
      </c>
      <c r="AH187" s="91">
        <v>469604</v>
      </c>
      <c r="AI187" s="91">
        <v>77771</v>
      </c>
      <c r="AJ187" s="91">
        <v>0</v>
      </c>
      <c r="AK187" s="91">
        <v>391833</v>
      </c>
      <c r="AL187" s="91">
        <v>0</v>
      </c>
    </row>
    <row r="188" spans="1:38" ht="55.5" hidden="1" x14ac:dyDescent="0.25">
      <c r="A188" s="89" t="s">
        <v>650</v>
      </c>
      <c r="B188" s="90" t="s">
        <v>720</v>
      </c>
      <c r="C188" s="90">
        <v>5393471</v>
      </c>
      <c r="D188" s="90" t="str">
        <f>VLOOKUP(C188,'do průběžek'!$A$2:$D$246,2,FALSE)</f>
        <v>PO kraje</v>
      </c>
      <c r="E188" s="90" t="str">
        <f>VLOOKUP(C188,'do průběžek'!$A$2:$D$246,3,FALSE)</f>
        <v>§55 - Telefonická krizová pomoc</v>
      </c>
      <c r="F188" s="90" t="str">
        <f>VLOOKUP(C188,'do průběžek'!$A$2:$D$246,4,FALSE)</f>
        <v>terénní</v>
      </c>
      <c r="G188" s="90">
        <f>VLOOKUP(C188,'do průběžek'!$H$2:$J$246,2,FALSE)</f>
        <v>5.35</v>
      </c>
      <c r="H188" s="90">
        <f>VLOOKUP(C188,'do průběžek'!$H$2:$J$246,3,FALSE)</f>
        <v>0</v>
      </c>
      <c r="I188" s="91">
        <v>5340370</v>
      </c>
      <c r="J188" s="91">
        <v>3218817</v>
      </c>
      <c r="K188" s="91">
        <v>3213817</v>
      </c>
      <c r="L188" s="91">
        <v>2855000</v>
      </c>
      <c r="M188" s="91">
        <v>358817</v>
      </c>
      <c r="N188" s="91">
        <v>0</v>
      </c>
      <c r="O188" s="91">
        <v>0</v>
      </c>
      <c r="P188" s="91">
        <v>0</v>
      </c>
      <c r="Q188" s="91">
        <v>0</v>
      </c>
      <c r="R188" s="91">
        <v>0</v>
      </c>
      <c r="S188" s="91">
        <v>0</v>
      </c>
      <c r="T188" s="91">
        <v>0</v>
      </c>
      <c r="U188" s="91">
        <v>0</v>
      </c>
      <c r="V188" s="91">
        <v>0</v>
      </c>
      <c r="W188" s="91">
        <v>0</v>
      </c>
      <c r="X188" s="91">
        <v>0</v>
      </c>
      <c r="Y188" s="91">
        <v>5000</v>
      </c>
      <c r="Z188" s="91">
        <v>0</v>
      </c>
      <c r="AA188" s="91">
        <v>0</v>
      </c>
      <c r="AB188" s="91">
        <v>0</v>
      </c>
      <c r="AC188" s="91">
        <v>0</v>
      </c>
      <c r="AD188" s="91">
        <v>0</v>
      </c>
      <c r="AE188" s="91">
        <v>5000</v>
      </c>
      <c r="AF188" s="91">
        <v>0</v>
      </c>
      <c r="AG188" s="91">
        <v>0</v>
      </c>
      <c r="AH188" s="91">
        <v>193643</v>
      </c>
      <c r="AI188" s="91">
        <v>10591</v>
      </c>
      <c r="AJ188" s="91">
        <v>0</v>
      </c>
      <c r="AK188" s="91">
        <v>183052</v>
      </c>
      <c r="AL188" s="91">
        <v>0</v>
      </c>
    </row>
    <row r="189" spans="1:38" ht="55.5" hidden="1" x14ac:dyDescent="0.25">
      <c r="A189" s="89" t="s">
        <v>650</v>
      </c>
      <c r="B189" s="90" t="s">
        <v>721</v>
      </c>
      <c r="C189" s="90">
        <v>4892203</v>
      </c>
      <c r="D189" s="90" t="str">
        <f>VLOOKUP(C189,'do průběžek'!$A$2:$D$246,2,FALSE)</f>
        <v>Ústav</v>
      </c>
      <c r="E189" s="90" t="str">
        <f>VLOOKUP(C189,'do průběžek'!$A$2:$D$246,3,FALSE)</f>
        <v>§55 - Telefonická krizová pomoc</v>
      </c>
      <c r="F189" s="90" t="str">
        <f>VLOOKUP(C189,'do průběžek'!$A$2:$D$246,4,FALSE)</f>
        <v>terénní</v>
      </c>
      <c r="G189" s="90">
        <f>VLOOKUP(C189,'do průběžek'!$H$2:$J$246,2,FALSE)</f>
        <v>1</v>
      </c>
      <c r="H189" s="90">
        <f>VLOOKUP(C189,'do průběžek'!$H$2:$J$246,3,FALSE)</f>
        <v>0</v>
      </c>
      <c r="I189" s="91">
        <v>998200</v>
      </c>
      <c r="J189" s="91">
        <v>477720</v>
      </c>
      <c r="K189" s="91">
        <v>477720</v>
      </c>
      <c r="L189" s="91">
        <v>0</v>
      </c>
      <c r="M189" s="91">
        <v>0</v>
      </c>
      <c r="N189" s="91">
        <v>0</v>
      </c>
      <c r="O189" s="91">
        <v>0</v>
      </c>
      <c r="P189" s="91">
        <v>0</v>
      </c>
      <c r="Q189" s="91">
        <v>0</v>
      </c>
      <c r="R189" s="91">
        <v>41220</v>
      </c>
      <c r="S189" s="91">
        <v>0</v>
      </c>
      <c r="T189" s="91">
        <v>0</v>
      </c>
      <c r="U189" s="91">
        <v>0</v>
      </c>
      <c r="V189" s="91">
        <v>0</v>
      </c>
      <c r="W189" s="91">
        <v>0</v>
      </c>
      <c r="X189" s="91">
        <v>436500</v>
      </c>
      <c r="Y189" s="91">
        <v>0</v>
      </c>
      <c r="Z189" s="91">
        <v>0</v>
      </c>
      <c r="AA189" s="91">
        <v>0</v>
      </c>
      <c r="AB189" s="91">
        <v>0</v>
      </c>
      <c r="AC189" s="91">
        <v>0</v>
      </c>
      <c r="AD189" s="91">
        <v>0</v>
      </c>
      <c r="AE189" s="91">
        <v>0</v>
      </c>
      <c r="AF189" s="91">
        <v>0</v>
      </c>
      <c r="AG189" s="91">
        <v>0</v>
      </c>
      <c r="AH189" s="91">
        <v>0</v>
      </c>
      <c r="AI189" s="91">
        <v>0</v>
      </c>
      <c r="AJ189" s="91">
        <v>0</v>
      </c>
      <c r="AK189" s="91">
        <v>0</v>
      </c>
      <c r="AL189" s="91">
        <v>0</v>
      </c>
    </row>
    <row r="190" spans="1:38" ht="55.5" hidden="1" x14ac:dyDescent="0.25">
      <c r="A190" s="89" t="s">
        <v>650</v>
      </c>
      <c r="B190" s="90" t="s">
        <v>722</v>
      </c>
      <c r="C190" s="90">
        <v>2453453</v>
      </c>
      <c r="D190" s="90" t="str">
        <f>VLOOKUP(C190,'do průběžek'!$A$2:$D$246,2,FALSE)</f>
        <v>Obecně prospěšná společnost</v>
      </c>
      <c r="E190" s="90" t="str">
        <f>VLOOKUP(C190,'do průběžek'!$A$2:$D$246,3,FALSE)</f>
        <v>§56 - Tlumočnické služby</v>
      </c>
      <c r="F190" s="90" t="str">
        <f>VLOOKUP(C190,'do průběžek'!$A$2:$D$246,4,FALSE)</f>
        <v>terénní</v>
      </c>
      <c r="G190" s="90">
        <f>VLOOKUP(C190,'do průběžek'!$H$2:$J$246,2,FALSE)</f>
        <v>1.5</v>
      </c>
      <c r="H190" s="90">
        <f>VLOOKUP(C190,'do průběžek'!$H$2:$J$246,3,FALSE)</f>
        <v>0</v>
      </c>
      <c r="I190" s="91">
        <v>1950900</v>
      </c>
      <c r="J190" s="91">
        <v>913934</v>
      </c>
      <c r="K190" s="91">
        <v>913934</v>
      </c>
      <c r="L190" s="91">
        <v>833000</v>
      </c>
      <c r="M190" s="91">
        <v>0</v>
      </c>
      <c r="N190" s="91">
        <v>32000</v>
      </c>
      <c r="O190" s="91">
        <v>0</v>
      </c>
      <c r="P190" s="91">
        <v>0</v>
      </c>
      <c r="Q190" s="91">
        <v>0</v>
      </c>
      <c r="R190" s="91">
        <v>0</v>
      </c>
      <c r="S190" s="91">
        <v>48934</v>
      </c>
      <c r="T190" s="91">
        <v>0</v>
      </c>
      <c r="U190" s="91">
        <v>0</v>
      </c>
      <c r="V190" s="91">
        <v>0</v>
      </c>
      <c r="W190" s="91">
        <v>0</v>
      </c>
      <c r="X190" s="91">
        <v>0</v>
      </c>
      <c r="Y190" s="91">
        <v>0</v>
      </c>
      <c r="Z190" s="91">
        <v>0</v>
      </c>
      <c r="AA190" s="91">
        <v>0</v>
      </c>
      <c r="AB190" s="91">
        <v>0</v>
      </c>
      <c r="AC190" s="91">
        <v>0</v>
      </c>
      <c r="AD190" s="91">
        <v>0</v>
      </c>
      <c r="AE190" s="91">
        <v>0</v>
      </c>
      <c r="AF190" s="91">
        <v>0</v>
      </c>
      <c r="AG190" s="91">
        <v>0</v>
      </c>
      <c r="AH190" s="91">
        <v>51179</v>
      </c>
      <c r="AI190" s="91">
        <v>0</v>
      </c>
      <c r="AJ190" s="91">
        <v>0</v>
      </c>
      <c r="AK190" s="91">
        <v>51179</v>
      </c>
      <c r="AL190" s="91">
        <v>0</v>
      </c>
    </row>
    <row r="191" spans="1:38" ht="55.5" hidden="1" x14ac:dyDescent="0.25">
      <c r="A191" s="89" t="s">
        <v>650</v>
      </c>
      <c r="B191" s="90" t="s">
        <v>723</v>
      </c>
      <c r="C191" s="90">
        <v>1297986</v>
      </c>
      <c r="D191" s="90" t="str">
        <f>VLOOKUP(C191,'do průběžek'!$A$2:$D$246,2,FALSE)</f>
        <v>Církve a náboženské společnosti</v>
      </c>
      <c r="E191" s="90" t="str">
        <f>VLOOKUP(C191,'do průběžek'!$A$2:$D$246,3,FALSE)</f>
        <v>§57 - Azylové domy</v>
      </c>
      <c r="F191" s="90" t="str">
        <f>VLOOKUP(C191,'do průběžek'!$A$2:$D$246,4,FALSE)</f>
        <v>pobytová</v>
      </c>
      <c r="G191" s="90">
        <f>VLOOKUP(C191,'do průběžek'!$H$2:$J$246,2,FALSE)</f>
        <v>12.25</v>
      </c>
      <c r="H191" s="90">
        <f>VLOOKUP(C191,'do průběžek'!$H$2:$J$246,3,FALSE)</f>
        <v>66</v>
      </c>
      <c r="I191" s="91">
        <v>16293731</v>
      </c>
      <c r="J191" s="91">
        <v>4509993</v>
      </c>
      <c r="K191" s="91">
        <v>4322000</v>
      </c>
      <c r="L191" s="91">
        <v>4322000</v>
      </c>
      <c r="M191" s="91">
        <v>0</v>
      </c>
      <c r="N191" s="91">
        <v>0</v>
      </c>
      <c r="O191" s="91">
        <v>0</v>
      </c>
      <c r="P191" s="91">
        <v>0</v>
      </c>
      <c r="Q191" s="91">
        <v>0</v>
      </c>
      <c r="R191" s="91">
        <v>0</v>
      </c>
      <c r="S191" s="91">
        <v>0</v>
      </c>
      <c r="T191" s="91">
        <v>0</v>
      </c>
      <c r="U191" s="91">
        <v>0</v>
      </c>
      <c r="V191" s="91">
        <v>0</v>
      </c>
      <c r="W191" s="91">
        <v>0</v>
      </c>
      <c r="X191" s="91">
        <v>0</v>
      </c>
      <c r="Y191" s="91">
        <v>187993</v>
      </c>
      <c r="Z191" s="91">
        <v>0</v>
      </c>
      <c r="AA191" s="91">
        <v>187993</v>
      </c>
      <c r="AB191" s="91">
        <v>0</v>
      </c>
      <c r="AC191" s="91">
        <v>0</v>
      </c>
      <c r="AD191" s="91">
        <v>0</v>
      </c>
      <c r="AE191" s="91">
        <v>0</v>
      </c>
      <c r="AF191" s="91">
        <v>0</v>
      </c>
      <c r="AG191" s="91">
        <v>0</v>
      </c>
      <c r="AH191" s="91">
        <v>374614</v>
      </c>
      <c r="AI191" s="91">
        <v>0</v>
      </c>
      <c r="AJ191" s="91">
        <v>0</v>
      </c>
      <c r="AK191" s="91">
        <v>374614</v>
      </c>
      <c r="AL191" s="91">
        <v>0</v>
      </c>
    </row>
    <row r="192" spans="1:38" ht="55.5" hidden="1" x14ac:dyDescent="0.25">
      <c r="A192" s="89" t="s">
        <v>650</v>
      </c>
      <c r="B192" s="90" t="s">
        <v>724</v>
      </c>
      <c r="C192" s="90">
        <v>5918012</v>
      </c>
      <c r="D192" s="90" t="str">
        <f>VLOOKUP(C192,'do průběžek'!$A$2:$D$246,2,FALSE)</f>
        <v>Spolek</v>
      </c>
      <c r="E192" s="90" t="str">
        <f>VLOOKUP(C192,'do průběžek'!$A$2:$D$246,3,FALSE)</f>
        <v>§57 - Azylové domy</v>
      </c>
      <c r="F192" s="90" t="str">
        <f>VLOOKUP(C192,'do průběžek'!$A$2:$D$246,4,FALSE)</f>
        <v>pobytová</v>
      </c>
      <c r="G192" s="90">
        <f>VLOOKUP(C192,'do průběžek'!$H$2:$J$246,2,FALSE)</f>
        <v>4.55</v>
      </c>
      <c r="H192" s="90">
        <f>VLOOKUP(C192,'do průběžek'!$H$2:$J$246,3,FALSE)</f>
        <v>36</v>
      </c>
      <c r="I192" s="91">
        <v>8819449</v>
      </c>
      <c r="J192" s="91">
        <v>3320063</v>
      </c>
      <c r="K192" s="91">
        <v>2921000</v>
      </c>
      <c r="L192" s="91">
        <v>2294000</v>
      </c>
      <c r="M192" s="91">
        <v>0</v>
      </c>
      <c r="N192" s="91">
        <v>97000</v>
      </c>
      <c r="O192" s="91">
        <v>0</v>
      </c>
      <c r="P192" s="91">
        <v>0</v>
      </c>
      <c r="Q192" s="91">
        <v>0</v>
      </c>
      <c r="R192" s="91">
        <v>0</v>
      </c>
      <c r="S192" s="91">
        <v>530000</v>
      </c>
      <c r="T192" s="91">
        <v>0</v>
      </c>
      <c r="U192" s="91">
        <v>0</v>
      </c>
      <c r="V192" s="91">
        <v>0</v>
      </c>
      <c r="W192" s="91">
        <v>0</v>
      </c>
      <c r="X192" s="91">
        <v>0</v>
      </c>
      <c r="Y192" s="91">
        <v>399063</v>
      </c>
      <c r="Z192" s="91">
        <v>367140</v>
      </c>
      <c r="AA192" s="91">
        <v>0</v>
      </c>
      <c r="AB192" s="91">
        <v>0</v>
      </c>
      <c r="AC192" s="91">
        <v>0</v>
      </c>
      <c r="AD192" s="91">
        <v>23000</v>
      </c>
      <c r="AE192" s="91">
        <v>0</v>
      </c>
      <c r="AF192" s="91">
        <v>0</v>
      </c>
      <c r="AG192" s="91">
        <v>8923</v>
      </c>
      <c r="AH192" s="91">
        <v>147596</v>
      </c>
      <c r="AI192" s="91">
        <v>0</v>
      </c>
      <c r="AJ192" s="91">
        <v>0</v>
      </c>
      <c r="AK192" s="91">
        <v>147596</v>
      </c>
      <c r="AL192" s="91">
        <v>0</v>
      </c>
    </row>
    <row r="193" spans="1:38" ht="55.5" hidden="1" x14ac:dyDescent="0.25">
      <c r="A193" s="89" t="s">
        <v>650</v>
      </c>
      <c r="B193" s="90" t="s">
        <v>725</v>
      </c>
      <c r="C193" s="90">
        <v>6224406</v>
      </c>
      <c r="D193" s="90" t="str">
        <f>VLOOKUP(C193,'do průběžek'!$A$2:$D$246,2,FALSE)</f>
        <v>Obecně prospěšná společnost</v>
      </c>
      <c r="E193" s="90" t="str">
        <f>VLOOKUP(C193,'do průběžek'!$A$2:$D$246,3,FALSE)</f>
        <v>§57 - Azylové domy</v>
      </c>
      <c r="F193" s="90" t="str">
        <f>VLOOKUP(C193,'do průběžek'!$A$2:$D$246,4,FALSE)</f>
        <v>pobytová</v>
      </c>
      <c r="G193" s="90">
        <f>VLOOKUP(C193,'do průběžek'!$H$2:$J$246,2,FALSE)</f>
        <v>6</v>
      </c>
      <c r="H193" s="90">
        <f>VLOOKUP(C193,'do průběžek'!$H$2:$J$246,3,FALSE)</f>
        <v>25</v>
      </c>
      <c r="I193" s="91">
        <v>6220106</v>
      </c>
      <c r="J193" s="91">
        <v>2869211</v>
      </c>
      <c r="K193" s="91">
        <v>2371268</v>
      </c>
      <c r="L193" s="91">
        <v>1977000</v>
      </c>
      <c r="M193" s="91">
        <v>0</v>
      </c>
      <c r="N193" s="91">
        <v>128000</v>
      </c>
      <c r="O193" s="91">
        <v>0</v>
      </c>
      <c r="P193" s="91">
        <v>0</v>
      </c>
      <c r="Q193" s="91">
        <v>0</v>
      </c>
      <c r="R193" s="91">
        <v>0</v>
      </c>
      <c r="S193" s="91">
        <v>266268</v>
      </c>
      <c r="T193" s="91">
        <v>0</v>
      </c>
      <c r="U193" s="91">
        <v>0</v>
      </c>
      <c r="V193" s="91">
        <v>0</v>
      </c>
      <c r="W193" s="91">
        <v>0</v>
      </c>
      <c r="X193" s="91">
        <v>0</v>
      </c>
      <c r="Y193" s="91">
        <v>497943</v>
      </c>
      <c r="Z193" s="91">
        <v>397943</v>
      </c>
      <c r="AA193" s="91">
        <v>0</v>
      </c>
      <c r="AB193" s="91">
        <v>0</v>
      </c>
      <c r="AC193" s="91">
        <v>0</v>
      </c>
      <c r="AD193" s="91">
        <v>100000</v>
      </c>
      <c r="AE193" s="91">
        <v>0</v>
      </c>
      <c r="AF193" s="91">
        <v>0</v>
      </c>
      <c r="AG193" s="91">
        <v>0</v>
      </c>
      <c r="AH193" s="91">
        <v>269834</v>
      </c>
      <c r="AI193" s="91">
        <v>43331</v>
      </c>
      <c r="AJ193" s="91">
        <v>0</v>
      </c>
      <c r="AK193" s="91">
        <v>224583</v>
      </c>
      <c r="AL193" s="91">
        <v>1920</v>
      </c>
    </row>
    <row r="194" spans="1:38" ht="55.5" hidden="1" x14ac:dyDescent="0.25">
      <c r="A194" s="89" t="s">
        <v>650</v>
      </c>
      <c r="B194" s="90" t="s">
        <v>726</v>
      </c>
      <c r="C194" s="90">
        <v>3146268</v>
      </c>
      <c r="D194" s="90" t="str">
        <f>VLOOKUP(C194,'do průběžek'!$A$2:$D$246,2,FALSE)</f>
        <v>Církve a náboženské společnosti</v>
      </c>
      <c r="E194" s="90" t="str">
        <f>VLOOKUP(C194,'do průběžek'!$A$2:$D$246,3,FALSE)</f>
        <v>§57 - Azylové domy</v>
      </c>
      <c r="F194" s="90" t="str">
        <f>VLOOKUP(C194,'do průběžek'!$A$2:$D$246,4,FALSE)</f>
        <v>pobytová</v>
      </c>
      <c r="G194" s="90">
        <f>VLOOKUP(C194,'do průběžek'!$H$2:$J$246,2,FALSE)</f>
        <v>6.5</v>
      </c>
      <c r="H194" s="90">
        <f>VLOOKUP(C194,'do průběžek'!$H$2:$J$246,3,FALSE)</f>
        <v>17</v>
      </c>
      <c r="I194" s="91">
        <v>4125594.81</v>
      </c>
      <c r="J194" s="91">
        <v>2613348</v>
      </c>
      <c r="K194" s="91">
        <v>2339030</v>
      </c>
      <c r="L194" s="91">
        <v>1691000</v>
      </c>
      <c r="M194" s="91">
        <v>0</v>
      </c>
      <c r="N194" s="91">
        <v>139000</v>
      </c>
      <c r="O194" s="91">
        <v>0</v>
      </c>
      <c r="P194" s="91">
        <v>0</v>
      </c>
      <c r="Q194" s="91">
        <v>0</v>
      </c>
      <c r="R194" s="91">
        <v>0</v>
      </c>
      <c r="S194" s="91">
        <v>488835</v>
      </c>
      <c r="T194" s="91">
        <v>0</v>
      </c>
      <c r="U194" s="91">
        <v>0</v>
      </c>
      <c r="V194" s="91">
        <v>0</v>
      </c>
      <c r="W194" s="91">
        <v>0</v>
      </c>
      <c r="X194" s="91">
        <v>20195</v>
      </c>
      <c r="Y194" s="91">
        <v>274318</v>
      </c>
      <c r="Z194" s="91">
        <v>160928</v>
      </c>
      <c r="AA194" s="91">
        <v>0</v>
      </c>
      <c r="AB194" s="91">
        <v>0</v>
      </c>
      <c r="AC194" s="91">
        <v>0</v>
      </c>
      <c r="AD194" s="91">
        <v>113390</v>
      </c>
      <c r="AE194" s="91">
        <v>0</v>
      </c>
      <c r="AF194" s="91">
        <v>0</v>
      </c>
      <c r="AG194" s="91">
        <v>0</v>
      </c>
      <c r="AH194" s="91">
        <v>174850</v>
      </c>
      <c r="AI194" s="91">
        <v>0</v>
      </c>
      <c r="AJ194" s="91">
        <v>0</v>
      </c>
      <c r="AK194" s="91">
        <v>174850</v>
      </c>
      <c r="AL194" s="91">
        <v>0</v>
      </c>
    </row>
    <row r="195" spans="1:38" ht="55.5" hidden="1" x14ac:dyDescent="0.25">
      <c r="A195" s="89" t="s">
        <v>650</v>
      </c>
      <c r="B195" s="90" t="s">
        <v>727</v>
      </c>
      <c r="C195" s="90">
        <v>9958898</v>
      </c>
      <c r="D195" s="90" t="str">
        <f>VLOOKUP(C195,'do průběžek'!$A$2:$D$246,2,FALSE)</f>
        <v>Církve a náboženské společnosti</v>
      </c>
      <c r="E195" s="90" t="str">
        <f>VLOOKUP(C195,'do průběžek'!$A$2:$D$246,3,FALSE)</f>
        <v>§57 - Azylové domy</v>
      </c>
      <c r="F195" s="90" t="str">
        <f>VLOOKUP(C195,'do průběžek'!$A$2:$D$246,4,FALSE)</f>
        <v>pobytová</v>
      </c>
      <c r="G195" s="90">
        <f>VLOOKUP(C195,'do průběžek'!$H$2:$J$246,2,FALSE)</f>
        <v>4.6500000000000004</v>
      </c>
      <c r="H195" s="90">
        <f>VLOOKUP(C195,'do průběžek'!$H$2:$J$246,3,FALSE)</f>
        <v>17</v>
      </c>
      <c r="I195" s="91">
        <v>4025664.81</v>
      </c>
      <c r="J195" s="91">
        <v>2532097</v>
      </c>
      <c r="K195" s="91">
        <v>2282892</v>
      </c>
      <c r="L195" s="91">
        <v>1665000</v>
      </c>
      <c r="M195" s="91">
        <v>0</v>
      </c>
      <c r="N195" s="91">
        <v>99000</v>
      </c>
      <c r="O195" s="91">
        <v>0</v>
      </c>
      <c r="P195" s="91">
        <v>0</v>
      </c>
      <c r="Q195" s="91">
        <v>0</v>
      </c>
      <c r="R195" s="91">
        <v>0</v>
      </c>
      <c r="S195" s="91">
        <v>488835</v>
      </c>
      <c r="T195" s="91">
        <v>0</v>
      </c>
      <c r="U195" s="91">
        <v>0</v>
      </c>
      <c r="V195" s="91">
        <v>0</v>
      </c>
      <c r="W195" s="91">
        <v>0</v>
      </c>
      <c r="X195" s="91">
        <v>30057</v>
      </c>
      <c r="Y195" s="91">
        <v>249205</v>
      </c>
      <c r="Z195" s="91">
        <v>123620</v>
      </c>
      <c r="AA195" s="91">
        <v>0</v>
      </c>
      <c r="AB195" s="91">
        <v>0</v>
      </c>
      <c r="AC195" s="91">
        <v>0</v>
      </c>
      <c r="AD195" s="91">
        <v>125585</v>
      </c>
      <c r="AE195" s="91">
        <v>0</v>
      </c>
      <c r="AF195" s="91">
        <v>0</v>
      </c>
      <c r="AG195" s="91">
        <v>0</v>
      </c>
      <c r="AH195" s="91">
        <v>181473</v>
      </c>
      <c r="AI195" s="91">
        <v>0</v>
      </c>
      <c r="AJ195" s="91">
        <v>0</v>
      </c>
      <c r="AK195" s="91">
        <v>181473</v>
      </c>
      <c r="AL195" s="91">
        <v>0</v>
      </c>
    </row>
    <row r="196" spans="1:38" ht="55.5" hidden="1" x14ac:dyDescent="0.25">
      <c r="A196" s="89" t="s">
        <v>650</v>
      </c>
      <c r="B196" s="90" t="s">
        <v>728</v>
      </c>
      <c r="C196" s="90">
        <v>8170444</v>
      </c>
      <c r="D196" s="90" t="str">
        <f>VLOOKUP(C196,'do průběžek'!$A$2:$D$246,2,FALSE)</f>
        <v>Příspěvková organizace zřízená územním samosprávným celkem</v>
      </c>
      <c r="E196" s="90" t="str">
        <f>VLOOKUP(C196,'do průběžek'!$A$2:$D$246,3,FALSE)</f>
        <v>§57 - Azylové domy</v>
      </c>
      <c r="F196" s="90" t="str">
        <f>VLOOKUP(C196,'do průběžek'!$A$2:$D$246,4,FALSE)</f>
        <v>pobytová</v>
      </c>
      <c r="G196" s="90">
        <f>VLOOKUP(C196,'do průběžek'!$H$2:$J$246,2,FALSE)</f>
        <v>1</v>
      </c>
      <c r="H196" s="90">
        <f>VLOOKUP(C196,'do průběžek'!$H$2:$J$246,3,FALSE)</f>
        <v>12</v>
      </c>
      <c r="I196" s="91">
        <v>2964036</v>
      </c>
      <c r="J196" s="91">
        <v>1309174.23</v>
      </c>
      <c r="K196" s="91">
        <v>1267920</v>
      </c>
      <c r="L196" s="91">
        <v>433000</v>
      </c>
      <c r="M196" s="91">
        <v>0</v>
      </c>
      <c r="N196" s="91">
        <v>0</v>
      </c>
      <c r="O196" s="91">
        <v>0</v>
      </c>
      <c r="P196" s="91">
        <v>0</v>
      </c>
      <c r="Q196" s="91">
        <v>0</v>
      </c>
      <c r="R196" s="91">
        <v>0</v>
      </c>
      <c r="S196" s="91">
        <v>0</v>
      </c>
      <c r="T196" s="91">
        <v>834920</v>
      </c>
      <c r="U196" s="91">
        <v>0</v>
      </c>
      <c r="V196" s="91">
        <v>0</v>
      </c>
      <c r="W196" s="91">
        <v>0</v>
      </c>
      <c r="X196" s="91">
        <v>0</v>
      </c>
      <c r="Y196" s="91">
        <v>41254.230000000003</v>
      </c>
      <c r="Z196" s="91">
        <v>41230</v>
      </c>
      <c r="AA196" s="91">
        <v>0</v>
      </c>
      <c r="AB196" s="91">
        <v>0</v>
      </c>
      <c r="AC196" s="91">
        <v>0</v>
      </c>
      <c r="AD196" s="91">
        <v>0</v>
      </c>
      <c r="AE196" s="91">
        <v>0</v>
      </c>
      <c r="AF196" s="91">
        <v>0</v>
      </c>
      <c r="AG196" s="91">
        <v>24.23</v>
      </c>
      <c r="AH196" s="91">
        <v>18364</v>
      </c>
      <c r="AI196" s="91">
        <v>676</v>
      </c>
      <c r="AJ196" s="91">
        <v>0</v>
      </c>
      <c r="AK196" s="91">
        <v>17688</v>
      </c>
      <c r="AL196" s="91">
        <v>0</v>
      </c>
    </row>
    <row r="197" spans="1:38" ht="55.5" hidden="1" x14ac:dyDescent="0.25">
      <c r="A197" s="89" t="s">
        <v>650</v>
      </c>
      <c r="B197" s="90" t="s">
        <v>729</v>
      </c>
      <c r="C197" s="90">
        <v>6732891</v>
      </c>
      <c r="D197" s="90" t="str">
        <f>VLOOKUP(C197,'do průběžek'!$A$2:$D$246,2,FALSE)</f>
        <v>Příspěvková organizace zřízená územním samosprávným celkem</v>
      </c>
      <c r="E197" s="90" t="str">
        <f>VLOOKUP(C197,'do průběžek'!$A$2:$D$246,3,FALSE)</f>
        <v>§57 - Azylové domy</v>
      </c>
      <c r="F197" s="90" t="str">
        <f>VLOOKUP(C197,'do průběžek'!$A$2:$D$246,4,FALSE)</f>
        <v>pobytová</v>
      </c>
      <c r="G197" s="90">
        <f>VLOOKUP(C197,'do průběžek'!$H$2:$J$246,2,FALSE)</f>
        <v>6.4</v>
      </c>
      <c r="H197" s="90">
        <f>VLOOKUP(C197,'do průběžek'!$H$2:$J$246,3,FALSE)</f>
        <v>28</v>
      </c>
      <c r="I197" s="91">
        <v>6942751</v>
      </c>
      <c r="J197" s="91">
        <v>3705712.71</v>
      </c>
      <c r="K197" s="91">
        <v>3530720</v>
      </c>
      <c r="L197" s="91">
        <v>2147000</v>
      </c>
      <c r="M197" s="91">
        <v>0</v>
      </c>
      <c r="N197" s="91">
        <v>0</v>
      </c>
      <c r="O197" s="91">
        <v>0</v>
      </c>
      <c r="P197" s="91">
        <v>0</v>
      </c>
      <c r="Q197" s="91">
        <v>0</v>
      </c>
      <c r="R197" s="91">
        <v>0</v>
      </c>
      <c r="S197" s="91">
        <v>0</v>
      </c>
      <c r="T197" s="91">
        <v>1383720</v>
      </c>
      <c r="U197" s="91">
        <v>0</v>
      </c>
      <c r="V197" s="91">
        <v>0</v>
      </c>
      <c r="W197" s="91">
        <v>0</v>
      </c>
      <c r="X197" s="91">
        <v>0</v>
      </c>
      <c r="Y197" s="91">
        <v>174992.71</v>
      </c>
      <c r="Z197" s="91">
        <v>128800</v>
      </c>
      <c r="AA197" s="91">
        <v>0</v>
      </c>
      <c r="AB197" s="91">
        <v>0</v>
      </c>
      <c r="AC197" s="91">
        <v>0</v>
      </c>
      <c r="AD197" s="91">
        <v>46107.89</v>
      </c>
      <c r="AE197" s="91">
        <v>0</v>
      </c>
      <c r="AF197" s="91">
        <v>0</v>
      </c>
      <c r="AG197" s="91">
        <v>84.82</v>
      </c>
      <c r="AH197" s="91">
        <v>228596</v>
      </c>
      <c r="AI197" s="91">
        <v>20216</v>
      </c>
      <c r="AJ197" s="91">
        <v>0</v>
      </c>
      <c r="AK197" s="91">
        <v>208380</v>
      </c>
      <c r="AL197" s="91">
        <v>0</v>
      </c>
    </row>
    <row r="198" spans="1:38" ht="55.5" hidden="1" x14ac:dyDescent="0.25">
      <c r="A198" s="89" t="s">
        <v>650</v>
      </c>
      <c r="B198" s="90" t="s">
        <v>730</v>
      </c>
      <c r="C198" s="90">
        <v>1220799</v>
      </c>
      <c r="D198" s="90" t="str">
        <f>VLOOKUP(C198,'do průběžek'!$A$2:$D$246,2,FALSE)</f>
        <v>Spolek</v>
      </c>
      <c r="E198" s="90" t="str">
        <f>VLOOKUP(C198,'do průběžek'!$A$2:$D$246,3,FALSE)</f>
        <v>§58 - Domy na půl cesty</v>
      </c>
      <c r="F198" s="90" t="str">
        <f>VLOOKUP(C198,'do průběžek'!$A$2:$D$246,4,FALSE)</f>
        <v>pobytová</v>
      </c>
      <c r="G198" s="90">
        <f>VLOOKUP(C198,'do průběžek'!$H$2:$J$246,2,FALSE)</f>
        <v>4.09</v>
      </c>
      <c r="H198" s="90">
        <f>VLOOKUP(C198,'do průběžek'!$H$2:$J$246,3,FALSE)</f>
        <v>10</v>
      </c>
      <c r="I198" s="91">
        <v>4151500</v>
      </c>
      <c r="J198" s="91">
        <v>2250517</v>
      </c>
      <c r="K198" s="91">
        <v>2250517</v>
      </c>
      <c r="L198" s="91">
        <v>1883000</v>
      </c>
      <c r="M198" s="91">
        <v>0</v>
      </c>
      <c r="N198" s="91">
        <v>87000</v>
      </c>
      <c r="O198" s="91">
        <v>0</v>
      </c>
      <c r="P198" s="91">
        <v>0</v>
      </c>
      <c r="Q198" s="91">
        <v>0</v>
      </c>
      <c r="R198" s="91">
        <v>0</v>
      </c>
      <c r="S198" s="91">
        <v>280517</v>
      </c>
      <c r="T198" s="91">
        <v>0</v>
      </c>
      <c r="U198" s="91">
        <v>0</v>
      </c>
      <c r="V198" s="91">
        <v>0</v>
      </c>
      <c r="W198" s="91">
        <v>0</v>
      </c>
      <c r="X198" s="91">
        <v>0</v>
      </c>
      <c r="Y198" s="91">
        <v>0</v>
      </c>
      <c r="Z198" s="91">
        <v>0</v>
      </c>
      <c r="AA198" s="91">
        <v>0</v>
      </c>
      <c r="AB198" s="91">
        <v>0</v>
      </c>
      <c r="AC198" s="91">
        <v>0</v>
      </c>
      <c r="AD198" s="91">
        <v>0</v>
      </c>
      <c r="AE198" s="91">
        <v>0</v>
      </c>
      <c r="AF198" s="91">
        <v>0</v>
      </c>
      <c r="AG198" s="91">
        <v>0</v>
      </c>
      <c r="AH198" s="91">
        <v>183058</v>
      </c>
      <c r="AI198" s="91">
        <v>78480</v>
      </c>
      <c r="AJ198" s="91">
        <v>0</v>
      </c>
      <c r="AK198" s="91">
        <v>104578</v>
      </c>
      <c r="AL198" s="91">
        <v>0</v>
      </c>
    </row>
    <row r="199" spans="1:38" ht="55.5" hidden="1" x14ac:dyDescent="0.25">
      <c r="A199" s="89" t="s">
        <v>650</v>
      </c>
      <c r="B199" s="90" t="s">
        <v>731</v>
      </c>
      <c r="C199" s="90">
        <v>3802797</v>
      </c>
      <c r="D199" s="90" t="str">
        <f>VLOOKUP(C199,'do průběžek'!$A$2:$D$246,2,FALSE)</f>
        <v>Obecně prospěšná společnost</v>
      </c>
      <c r="E199" s="90" t="str">
        <f>VLOOKUP(C199,'do průběžek'!$A$2:$D$246,3,FALSE)</f>
        <v>§58 - Domy na půl cesty</v>
      </c>
      <c r="F199" s="90" t="str">
        <f>VLOOKUP(C199,'do průběžek'!$A$2:$D$246,4,FALSE)</f>
        <v>pobytová</v>
      </c>
      <c r="G199" s="90">
        <f>VLOOKUP(C199,'do průběžek'!$H$2:$J$246,2,FALSE)</f>
        <v>1.5</v>
      </c>
      <c r="H199" s="90">
        <f>VLOOKUP(C199,'do průběžek'!$H$2:$J$246,3,FALSE)</f>
        <v>5</v>
      </c>
      <c r="I199" s="91">
        <v>1991750</v>
      </c>
      <c r="J199" s="91">
        <v>1228000</v>
      </c>
      <c r="K199" s="91">
        <v>893000</v>
      </c>
      <c r="L199" s="91">
        <v>893000</v>
      </c>
      <c r="M199" s="91">
        <v>0</v>
      </c>
      <c r="N199" s="91">
        <v>0</v>
      </c>
      <c r="O199" s="91">
        <v>0</v>
      </c>
      <c r="P199" s="91">
        <v>0</v>
      </c>
      <c r="Q199" s="91">
        <v>0</v>
      </c>
      <c r="R199" s="91">
        <v>0</v>
      </c>
      <c r="S199" s="91">
        <v>0</v>
      </c>
      <c r="T199" s="91">
        <v>0</v>
      </c>
      <c r="U199" s="91">
        <v>0</v>
      </c>
      <c r="V199" s="91">
        <v>0</v>
      </c>
      <c r="W199" s="91">
        <v>0</v>
      </c>
      <c r="X199" s="91">
        <v>0</v>
      </c>
      <c r="Y199" s="91">
        <v>335000</v>
      </c>
      <c r="Z199" s="91">
        <v>106000</v>
      </c>
      <c r="AA199" s="91">
        <v>0</v>
      </c>
      <c r="AB199" s="91">
        <v>0</v>
      </c>
      <c r="AC199" s="91">
        <v>0</v>
      </c>
      <c r="AD199" s="91">
        <v>229000</v>
      </c>
      <c r="AE199" s="91">
        <v>0</v>
      </c>
      <c r="AF199" s="91">
        <v>0</v>
      </c>
      <c r="AG199" s="91">
        <v>0</v>
      </c>
      <c r="AH199" s="91">
        <v>50175</v>
      </c>
      <c r="AI199" s="91">
        <v>0</v>
      </c>
      <c r="AJ199" s="91">
        <v>0</v>
      </c>
      <c r="AK199" s="91">
        <v>50175</v>
      </c>
      <c r="AL199" s="91">
        <v>0</v>
      </c>
    </row>
    <row r="200" spans="1:38" ht="55.5" hidden="1" x14ac:dyDescent="0.25">
      <c r="A200" s="89" t="s">
        <v>650</v>
      </c>
      <c r="B200" s="90" t="s">
        <v>732</v>
      </c>
      <c r="C200" s="90">
        <v>3801846</v>
      </c>
      <c r="D200" s="90" t="str">
        <f>VLOOKUP(C200,'do průběžek'!$A$2:$D$246,2,FALSE)</f>
        <v>Spolek</v>
      </c>
      <c r="E200" s="90" t="str">
        <f>VLOOKUP(C200,'do průběžek'!$A$2:$D$246,3,FALSE)</f>
        <v>§59 - Kontaktní centra</v>
      </c>
      <c r="F200" s="90" t="str">
        <f>VLOOKUP(C200,'do průběžek'!$A$2:$D$246,4,FALSE)</f>
        <v>ambulantní</v>
      </c>
      <c r="G200" s="90">
        <f>VLOOKUP(C200,'do průběžek'!$H$2:$J$246,2,FALSE)</f>
        <v>2.65</v>
      </c>
      <c r="H200" s="90">
        <f>VLOOKUP(C200,'do průběžek'!$H$2:$J$246,3,FALSE)</f>
        <v>0</v>
      </c>
      <c r="I200" s="91">
        <v>3262614</v>
      </c>
      <c r="J200" s="91">
        <v>2546000</v>
      </c>
      <c r="K200" s="91">
        <v>2546000</v>
      </c>
      <c r="L200" s="91">
        <v>1150000</v>
      </c>
      <c r="M200" s="91">
        <v>0</v>
      </c>
      <c r="N200" s="91">
        <v>607000</v>
      </c>
      <c r="O200" s="91">
        <v>0</v>
      </c>
      <c r="P200" s="91">
        <v>0</v>
      </c>
      <c r="Q200" s="91">
        <v>0</v>
      </c>
      <c r="R200" s="91">
        <v>0</v>
      </c>
      <c r="S200" s="91">
        <v>0</v>
      </c>
      <c r="T200" s="91">
        <v>0</v>
      </c>
      <c r="U200" s="91">
        <v>0</v>
      </c>
      <c r="V200" s="91">
        <v>0</v>
      </c>
      <c r="W200" s="91">
        <v>0</v>
      </c>
      <c r="X200" s="91">
        <v>789000</v>
      </c>
      <c r="Y200" s="91">
        <v>0</v>
      </c>
      <c r="Z200" s="91">
        <v>0</v>
      </c>
      <c r="AA200" s="91">
        <v>0</v>
      </c>
      <c r="AB200" s="91">
        <v>0</v>
      </c>
      <c r="AC200" s="91">
        <v>0</v>
      </c>
      <c r="AD200" s="91">
        <v>0</v>
      </c>
      <c r="AE200" s="91">
        <v>0</v>
      </c>
      <c r="AF200" s="91">
        <v>0</v>
      </c>
      <c r="AG200" s="91">
        <v>0</v>
      </c>
      <c r="AH200" s="91">
        <v>161118</v>
      </c>
      <c r="AI200" s="91">
        <v>62160</v>
      </c>
      <c r="AJ200" s="91">
        <v>0</v>
      </c>
      <c r="AK200" s="91">
        <v>98958</v>
      </c>
      <c r="AL200" s="91">
        <v>0</v>
      </c>
    </row>
    <row r="201" spans="1:38" ht="55.5" hidden="1" x14ac:dyDescent="0.25">
      <c r="A201" s="89" t="s">
        <v>650</v>
      </c>
      <c r="B201" s="90" t="s">
        <v>733</v>
      </c>
      <c r="C201" s="90">
        <v>1229581</v>
      </c>
      <c r="D201" s="90" t="str">
        <f>VLOOKUP(C201,'do průběžek'!$A$2:$D$246,2,FALSE)</f>
        <v>Spolek</v>
      </c>
      <c r="E201" s="90" t="str">
        <f>VLOOKUP(C201,'do průběžek'!$A$2:$D$246,3,FALSE)</f>
        <v>§59 - Kontaktní centra</v>
      </c>
      <c r="F201" s="90" t="str">
        <f>VLOOKUP(C201,'do průběžek'!$A$2:$D$246,4,FALSE)</f>
        <v>ambulantní</v>
      </c>
      <c r="G201" s="90">
        <f>VLOOKUP(C201,'do průběžek'!$H$2:$J$246,2,FALSE)</f>
        <v>6</v>
      </c>
      <c r="H201" s="90">
        <f>VLOOKUP(C201,'do průběžek'!$H$2:$J$246,3,FALSE)</f>
        <v>0</v>
      </c>
      <c r="I201" s="91">
        <v>6434400</v>
      </c>
      <c r="J201" s="91">
        <v>5025000</v>
      </c>
      <c r="K201" s="91">
        <v>5025000</v>
      </c>
      <c r="L201" s="91">
        <v>2552000</v>
      </c>
      <c r="M201" s="91">
        <v>0</v>
      </c>
      <c r="N201" s="91">
        <v>768000</v>
      </c>
      <c r="O201" s="91">
        <v>0</v>
      </c>
      <c r="P201" s="91">
        <v>0</v>
      </c>
      <c r="Q201" s="91">
        <v>0</v>
      </c>
      <c r="R201" s="91">
        <v>0</v>
      </c>
      <c r="S201" s="91">
        <v>300000</v>
      </c>
      <c r="T201" s="91">
        <v>0</v>
      </c>
      <c r="U201" s="91">
        <v>0</v>
      </c>
      <c r="V201" s="91">
        <v>0</v>
      </c>
      <c r="W201" s="91">
        <v>0</v>
      </c>
      <c r="X201" s="91">
        <v>1405000</v>
      </c>
      <c r="Y201" s="91">
        <v>0</v>
      </c>
      <c r="Z201" s="91">
        <v>0</v>
      </c>
      <c r="AA201" s="91">
        <v>0</v>
      </c>
      <c r="AB201" s="91">
        <v>0</v>
      </c>
      <c r="AC201" s="91">
        <v>0</v>
      </c>
      <c r="AD201" s="91">
        <v>0</v>
      </c>
      <c r="AE201" s="91">
        <v>0</v>
      </c>
      <c r="AF201" s="91">
        <v>0</v>
      </c>
      <c r="AG201" s="91">
        <v>0</v>
      </c>
      <c r="AH201" s="91">
        <v>331739</v>
      </c>
      <c r="AI201" s="91">
        <v>127378</v>
      </c>
      <c r="AJ201" s="91">
        <v>0</v>
      </c>
      <c r="AK201" s="91">
        <v>204361</v>
      </c>
      <c r="AL201" s="91">
        <v>0</v>
      </c>
    </row>
    <row r="202" spans="1:38" ht="55.5" hidden="1" x14ac:dyDescent="0.25">
      <c r="A202" s="89" t="s">
        <v>650</v>
      </c>
      <c r="B202" s="90" t="s">
        <v>734</v>
      </c>
      <c r="C202" s="90">
        <v>1701584</v>
      </c>
      <c r="D202" s="90" t="str">
        <f>VLOOKUP(C202,'do průběžek'!$A$2:$D$246,2,FALSE)</f>
        <v>PO kraje</v>
      </c>
      <c r="E202" s="90" t="s">
        <v>305</v>
      </c>
      <c r="F202" s="90" t="str">
        <f>VLOOKUP(C202,'do průběžek'!$A$2:$D$246,4,FALSE)</f>
        <v>ambulantní a terénní</v>
      </c>
      <c r="G202" s="90">
        <f>VLOOKUP(C202,'do průběžek'!$H$2:$J$246,2,FALSE)</f>
        <v>2.2000000000000002</v>
      </c>
      <c r="H202" s="90">
        <f>VLOOKUP(C202,'do průběžek'!$H$2:$J$246,3,FALSE)</f>
        <v>0</v>
      </c>
      <c r="I202" s="91">
        <v>3402000</v>
      </c>
      <c r="J202" s="91">
        <v>2516553</v>
      </c>
      <c r="K202" s="91">
        <v>2446553</v>
      </c>
      <c r="L202" s="91">
        <v>1568000</v>
      </c>
      <c r="M202" s="91">
        <v>878553</v>
      </c>
      <c r="N202" s="91">
        <v>0</v>
      </c>
      <c r="O202" s="91">
        <v>0</v>
      </c>
      <c r="P202" s="91">
        <v>0</v>
      </c>
      <c r="Q202" s="91">
        <v>0</v>
      </c>
      <c r="R202" s="91">
        <v>0</v>
      </c>
      <c r="S202" s="91">
        <v>0</v>
      </c>
      <c r="T202" s="91">
        <v>0</v>
      </c>
      <c r="U202" s="91">
        <v>0</v>
      </c>
      <c r="V202" s="91">
        <v>0</v>
      </c>
      <c r="W202" s="91">
        <v>0</v>
      </c>
      <c r="X202" s="91">
        <v>0</v>
      </c>
      <c r="Y202" s="91">
        <v>70000</v>
      </c>
      <c r="Z202" s="91">
        <v>0</v>
      </c>
      <c r="AA202" s="91">
        <v>0</v>
      </c>
      <c r="AB202" s="91">
        <v>0</v>
      </c>
      <c r="AC202" s="91">
        <v>0</v>
      </c>
      <c r="AD202" s="91">
        <v>0</v>
      </c>
      <c r="AE202" s="91">
        <v>70000</v>
      </c>
      <c r="AF202" s="91">
        <v>0</v>
      </c>
      <c r="AG202" s="91">
        <v>0</v>
      </c>
      <c r="AH202" s="91">
        <v>93090</v>
      </c>
      <c r="AI202" s="91">
        <v>7538</v>
      </c>
      <c r="AJ202" s="91">
        <v>0</v>
      </c>
      <c r="AK202" s="91">
        <v>85552</v>
      </c>
      <c r="AL202" s="91">
        <v>0</v>
      </c>
    </row>
    <row r="203" spans="1:38" ht="55.5" hidden="1" x14ac:dyDescent="0.25">
      <c r="A203" s="89" t="s">
        <v>650</v>
      </c>
      <c r="B203" s="90" t="s">
        <v>735</v>
      </c>
      <c r="C203" s="90">
        <v>1020591</v>
      </c>
      <c r="D203" s="90" t="str">
        <f>VLOOKUP(C203,'do průběžek'!$A$2:$D$246,2,FALSE)</f>
        <v>Spolek</v>
      </c>
      <c r="E203" s="90" t="str">
        <f>VLOOKUP(C203,'do průběžek'!$A$2:$D$246,3,FALSE)</f>
        <v>§61 - Nízkoprahová denní centra</v>
      </c>
      <c r="F203" s="90" t="str">
        <f>VLOOKUP(C203,'do průběžek'!$A$2:$D$246,4,FALSE)</f>
        <v>ambulantní</v>
      </c>
      <c r="G203" s="90">
        <f>VLOOKUP(C203,'do průběžek'!$H$2:$J$246,2,FALSE)</f>
        <v>2.65</v>
      </c>
      <c r="H203" s="90">
        <f>VLOOKUP(C203,'do průběžek'!$H$2:$J$246,3,FALSE)</f>
        <v>0</v>
      </c>
      <c r="I203" s="91">
        <v>4400060</v>
      </c>
      <c r="J203" s="91">
        <v>2098766</v>
      </c>
      <c r="K203" s="91">
        <v>1949000</v>
      </c>
      <c r="L203" s="91">
        <v>1492000</v>
      </c>
      <c r="M203" s="91">
        <v>0</v>
      </c>
      <c r="N203" s="91">
        <v>57000</v>
      </c>
      <c r="O203" s="91">
        <v>0</v>
      </c>
      <c r="P203" s="91">
        <v>0</v>
      </c>
      <c r="Q203" s="91">
        <v>0</v>
      </c>
      <c r="R203" s="91">
        <v>0</v>
      </c>
      <c r="S203" s="91">
        <v>400000</v>
      </c>
      <c r="T203" s="91">
        <v>0</v>
      </c>
      <c r="U203" s="91">
        <v>0</v>
      </c>
      <c r="V203" s="91">
        <v>0</v>
      </c>
      <c r="W203" s="91">
        <v>0</v>
      </c>
      <c r="X203" s="91">
        <v>0</v>
      </c>
      <c r="Y203" s="91">
        <v>149766</v>
      </c>
      <c r="Z203" s="91">
        <v>0</v>
      </c>
      <c r="AA203" s="91">
        <v>0</v>
      </c>
      <c r="AB203" s="91">
        <v>0</v>
      </c>
      <c r="AC203" s="91">
        <v>0</v>
      </c>
      <c r="AD203" s="91">
        <v>142282</v>
      </c>
      <c r="AE203" s="91">
        <v>0</v>
      </c>
      <c r="AF203" s="91">
        <v>0</v>
      </c>
      <c r="AG203" s="91">
        <v>7484</v>
      </c>
      <c r="AH203" s="91">
        <v>99180</v>
      </c>
      <c r="AI203" s="91">
        <v>0</v>
      </c>
      <c r="AJ203" s="91">
        <v>0</v>
      </c>
      <c r="AK203" s="91">
        <v>99180</v>
      </c>
      <c r="AL203" s="91">
        <v>0</v>
      </c>
    </row>
    <row r="204" spans="1:38" ht="55.5" hidden="1" x14ac:dyDescent="0.25">
      <c r="A204" s="89" t="s">
        <v>650</v>
      </c>
      <c r="B204" s="90" t="s">
        <v>736</v>
      </c>
      <c r="C204" s="90">
        <v>2481915</v>
      </c>
      <c r="D204" s="90" t="str">
        <f>VLOOKUP(C204,'do průběžek'!$A$2:$D$246,2,FALSE)</f>
        <v>Spolek</v>
      </c>
      <c r="E204" s="90" t="str">
        <f>VLOOKUP(C204,'do průběžek'!$A$2:$D$246,3,FALSE)</f>
        <v>§61 - Nízkoprahová denní centra</v>
      </c>
      <c r="F204" s="90" t="str">
        <f>VLOOKUP(C204,'do průběžek'!$A$2:$D$246,4,FALSE)</f>
        <v>ambulantní</v>
      </c>
      <c r="G204" s="90">
        <f>VLOOKUP(C204,'do průběžek'!$H$2:$J$246,2,FALSE)</f>
        <v>3.5</v>
      </c>
      <c r="H204" s="90">
        <f>VLOOKUP(C204,'do průběžek'!$H$2:$J$246,3,FALSE)</f>
        <v>0</v>
      </c>
      <c r="I204" s="91">
        <v>5811400</v>
      </c>
      <c r="J204" s="91">
        <v>2259466.13</v>
      </c>
      <c r="K204" s="91">
        <v>2059000</v>
      </c>
      <c r="L204" s="91">
        <v>1984000</v>
      </c>
      <c r="M204" s="91">
        <v>0</v>
      </c>
      <c r="N204" s="91">
        <v>75000</v>
      </c>
      <c r="O204" s="91">
        <v>0</v>
      </c>
      <c r="P204" s="91">
        <v>0</v>
      </c>
      <c r="Q204" s="91">
        <v>0</v>
      </c>
      <c r="R204" s="91">
        <v>0</v>
      </c>
      <c r="S204" s="91">
        <v>0</v>
      </c>
      <c r="T204" s="91">
        <v>0</v>
      </c>
      <c r="U204" s="91">
        <v>0</v>
      </c>
      <c r="V204" s="91">
        <v>0</v>
      </c>
      <c r="W204" s="91">
        <v>0</v>
      </c>
      <c r="X204" s="91">
        <v>0</v>
      </c>
      <c r="Y204" s="91">
        <v>200466.13</v>
      </c>
      <c r="Z204" s="91">
        <v>0</v>
      </c>
      <c r="AA204" s="91">
        <v>0</v>
      </c>
      <c r="AB204" s="91">
        <v>0</v>
      </c>
      <c r="AC204" s="91">
        <v>0</v>
      </c>
      <c r="AD204" s="91">
        <v>199335</v>
      </c>
      <c r="AE204" s="91">
        <v>0</v>
      </c>
      <c r="AF204" s="91">
        <v>0</v>
      </c>
      <c r="AG204" s="91">
        <v>1131.1300000000001</v>
      </c>
      <c r="AH204" s="91">
        <v>135692</v>
      </c>
      <c r="AI204" s="91">
        <v>0</v>
      </c>
      <c r="AJ204" s="91">
        <v>0</v>
      </c>
      <c r="AK204" s="91">
        <v>135692</v>
      </c>
      <c r="AL204" s="91">
        <v>0</v>
      </c>
    </row>
    <row r="205" spans="1:38" ht="55.5" hidden="1" x14ac:dyDescent="0.25">
      <c r="A205" s="89" t="s">
        <v>650</v>
      </c>
      <c r="B205" s="90" t="s">
        <v>737</v>
      </c>
      <c r="C205" s="90">
        <v>5235056</v>
      </c>
      <c r="D205" s="90" t="str">
        <f>VLOOKUP(C205,'do průběžek'!$A$2:$D$246,2,FALSE)</f>
        <v>Obecně prospěšná společnost</v>
      </c>
      <c r="E205" s="90" t="str">
        <f>VLOOKUP(C205,'do průběžek'!$A$2:$D$246,3,FALSE)</f>
        <v>§62 - Nízkoprahová zařízení pro děti a mládež</v>
      </c>
      <c r="F205" s="90" t="str">
        <f>VLOOKUP(C205,'do průběžek'!$A$2:$D$246,4,FALSE)</f>
        <v>ambulantní</v>
      </c>
      <c r="G205" s="90">
        <f>VLOOKUP(C205,'do průběžek'!$H$2:$J$246,2,FALSE)</f>
        <v>3</v>
      </c>
      <c r="H205" s="90">
        <f>VLOOKUP(C205,'do průběžek'!$H$2:$J$246,3,FALSE)</f>
        <v>0</v>
      </c>
      <c r="I205" s="91">
        <v>3220538</v>
      </c>
      <c r="J205" s="91">
        <v>1342000</v>
      </c>
      <c r="K205" s="91">
        <v>1342000</v>
      </c>
      <c r="L205" s="91">
        <v>1289000</v>
      </c>
      <c r="M205" s="91">
        <v>0</v>
      </c>
      <c r="N205" s="91">
        <v>53000</v>
      </c>
      <c r="O205" s="91">
        <v>0</v>
      </c>
      <c r="P205" s="91">
        <v>0</v>
      </c>
      <c r="Q205" s="91">
        <v>0</v>
      </c>
      <c r="R205" s="91">
        <v>0</v>
      </c>
      <c r="S205" s="91">
        <v>0</v>
      </c>
      <c r="T205" s="91">
        <v>0</v>
      </c>
      <c r="U205" s="91">
        <v>0</v>
      </c>
      <c r="V205" s="91">
        <v>0</v>
      </c>
      <c r="W205" s="91">
        <v>0</v>
      </c>
      <c r="X205" s="91">
        <v>0</v>
      </c>
      <c r="Y205" s="91">
        <v>0</v>
      </c>
      <c r="Z205" s="91">
        <v>0</v>
      </c>
      <c r="AA205" s="91">
        <v>0</v>
      </c>
      <c r="AB205" s="91">
        <v>0</v>
      </c>
      <c r="AC205" s="91">
        <v>0</v>
      </c>
      <c r="AD205" s="91">
        <v>0</v>
      </c>
      <c r="AE205" s="91">
        <v>0</v>
      </c>
      <c r="AF205" s="91">
        <v>0</v>
      </c>
      <c r="AG205" s="91">
        <v>0</v>
      </c>
      <c r="AH205" s="91">
        <v>0</v>
      </c>
      <c r="AI205" s="91">
        <v>0</v>
      </c>
      <c r="AJ205" s="91">
        <v>0</v>
      </c>
      <c r="AK205" s="91">
        <v>0</v>
      </c>
      <c r="AL205" s="91">
        <v>0</v>
      </c>
    </row>
    <row r="206" spans="1:38" ht="55.5" hidden="1" x14ac:dyDescent="0.25">
      <c r="A206" s="89" t="s">
        <v>650</v>
      </c>
      <c r="B206" s="90" t="s">
        <v>738</v>
      </c>
      <c r="C206" s="90">
        <v>3428319</v>
      </c>
      <c r="D206" s="90" t="str">
        <f>VLOOKUP(C206,'do průběžek'!$A$2:$D$246,2,FALSE)</f>
        <v>Církve a náboženské společnosti</v>
      </c>
      <c r="E206" s="90" t="str">
        <f>VLOOKUP(C206,'do průběžek'!$A$2:$D$246,3,FALSE)</f>
        <v>§62 - Nízkoprahová zařízení pro děti a mládež</v>
      </c>
      <c r="F206" s="90" t="str">
        <f>VLOOKUP(C206,'do průběžek'!$A$2:$D$246,4,FALSE)</f>
        <v>ambulantní a terénní</v>
      </c>
      <c r="G206" s="90">
        <f>VLOOKUP(C206,'do průběžek'!$H$2:$J$246,2,FALSE)</f>
        <v>5</v>
      </c>
      <c r="H206" s="90">
        <f>VLOOKUP(C206,'do průběžek'!$H$2:$J$246,3,FALSE)</f>
        <v>0</v>
      </c>
      <c r="I206" s="91">
        <v>5367564</v>
      </c>
      <c r="J206" s="91">
        <v>3941120</v>
      </c>
      <c r="K206" s="91">
        <v>3885136</v>
      </c>
      <c r="L206" s="91">
        <v>2147000</v>
      </c>
      <c r="M206" s="91">
        <v>0</v>
      </c>
      <c r="N206" s="91">
        <v>107000</v>
      </c>
      <c r="O206" s="91">
        <v>0</v>
      </c>
      <c r="P206" s="91">
        <v>0</v>
      </c>
      <c r="Q206" s="91">
        <v>0</v>
      </c>
      <c r="R206" s="91">
        <v>0</v>
      </c>
      <c r="S206" s="91">
        <v>1106215</v>
      </c>
      <c r="T206" s="91">
        <v>0</v>
      </c>
      <c r="U206" s="91">
        <v>0</v>
      </c>
      <c r="V206" s="91">
        <v>0</v>
      </c>
      <c r="W206" s="91">
        <v>524921</v>
      </c>
      <c r="X206" s="91">
        <v>0</v>
      </c>
      <c r="Y206" s="91">
        <v>55984</v>
      </c>
      <c r="Z206" s="91">
        <v>0</v>
      </c>
      <c r="AA206" s="91">
        <v>0</v>
      </c>
      <c r="AB206" s="91">
        <v>0</v>
      </c>
      <c r="AC206" s="91">
        <v>0</v>
      </c>
      <c r="AD206" s="91">
        <v>55984</v>
      </c>
      <c r="AE206" s="91">
        <v>0</v>
      </c>
      <c r="AF206" s="91">
        <v>0</v>
      </c>
      <c r="AG206" s="91">
        <v>0</v>
      </c>
      <c r="AH206" s="91">
        <v>140462</v>
      </c>
      <c r="AI206" s="91">
        <v>0</v>
      </c>
      <c r="AJ206" s="91">
        <v>0</v>
      </c>
      <c r="AK206" s="91">
        <v>140462</v>
      </c>
      <c r="AL206" s="91">
        <v>0</v>
      </c>
    </row>
    <row r="207" spans="1:38" ht="46.5" hidden="1" x14ac:dyDescent="0.25">
      <c r="A207" s="89" t="s">
        <v>532</v>
      </c>
      <c r="B207" s="90" t="s">
        <v>739</v>
      </c>
      <c r="C207" s="90">
        <v>6492623</v>
      </c>
      <c r="D207" s="90" t="str">
        <f>VLOOKUP(C207,'do průběžek'!$A$2:$D$246,2,FALSE)</f>
        <v>PO kraje</v>
      </c>
      <c r="E207" s="90" t="str">
        <f>VLOOKUP(C207,'do průběžek'!$A$2:$D$246,3,FALSE)</f>
        <v>§39 - Osobní asistence</v>
      </c>
      <c r="F207" s="90" t="str">
        <f>VLOOKUP(C207,'do průběžek'!$A$2:$D$246,4,FALSE)</f>
        <v>terénní</v>
      </c>
      <c r="G207" s="90">
        <f>VLOOKUP(C207,'do průběžek'!$H$2:$J$246,2,FALSE)</f>
        <v>6</v>
      </c>
      <c r="H207" s="90">
        <f>VLOOKUP(C207,'do průběžek'!$H$2:$J$246,3,FALSE)</f>
        <v>0</v>
      </c>
      <c r="I207" s="91">
        <v>5744106</v>
      </c>
      <c r="J207" s="91">
        <v>5279995.41</v>
      </c>
      <c r="K207" s="91">
        <v>4950620</v>
      </c>
      <c r="L207" s="91">
        <v>1681000</v>
      </c>
      <c r="M207" s="91">
        <v>3269620</v>
      </c>
      <c r="N207" s="91">
        <v>0</v>
      </c>
      <c r="O207" s="91">
        <v>0</v>
      </c>
      <c r="P207" s="91">
        <v>0</v>
      </c>
      <c r="Q207" s="91">
        <v>0</v>
      </c>
      <c r="R207" s="91">
        <v>0</v>
      </c>
      <c r="S207" s="91">
        <v>0</v>
      </c>
      <c r="T207" s="91">
        <v>0</v>
      </c>
      <c r="U207" s="91">
        <v>0</v>
      </c>
      <c r="V207" s="91">
        <v>0</v>
      </c>
      <c r="W207" s="91">
        <v>0</v>
      </c>
      <c r="X207" s="91">
        <v>0</v>
      </c>
      <c r="Y207" s="91">
        <v>329375.40999999997</v>
      </c>
      <c r="Z207" s="91">
        <v>317634</v>
      </c>
      <c r="AA207" s="91">
        <v>0</v>
      </c>
      <c r="AB207" s="91">
        <v>0</v>
      </c>
      <c r="AC207" s="91">
        <v>0</v>
      </c>
      <c r="AD207" s="91">
        <v>962.47</v>
      </c>
      <c r="AE207" s="91">
        <v>0</v>
      </c>
      <c r="AF207" s="91">
        <v>0</v>
      </c>
      <c r="AG207" s="91">
        <v>10778.94</v>
      </c>
      <c r="AH207" s="91">
        <v>494146</v>
      </c>
      <c r="AI207" s="91">
        <v>51000</v>
      </c>
      <c r="AJ207" s="91">
        <v>0</v>
      </c>
      <c r="AK207" s="91">
        <v>443146</v>
      </c>
      <c r="AL207" s="91">
        <v>0</v>
      </c>
    </row>
    <row r="208" spans="1:38" ht="55.5" hidden="1" x14ac:dyDescent="0.25">
      <c r="A208" s="89" t="s">
        <v>650</v>
      </c>
      <c r="B208" s="90" t="s">
        <v>740</v>
      </c>
      <c r="C208" s="90">
        <v>8208204</v>
      </c>
      <c r="D208" s="90" t="str">
        <f>VLOOKUP(C208,'do průběžek'!$A$2:$D$246,2,FALSE)</f>
        <v>Obecně prospěšná společnost</v>
      </c>
      <c r="E208" s="90" t="str">
        <f>VLOOKUP(C208,'do průběžek'!$A$2:$D$246,3,FALSE)</f>
        <v>§70 - Sociální rehabilitace</v>
      </c>
      <c r="F208" s="90" t="str">
        <f>VLOOKUP(C208,'do průběžek'!$A$2:$D$246,4,FALSE)</f>
        <v>ambulantní a terénní</v>
      </c>
      <c r="G208" s="90">
        <f>VLOOKUP(C208,'do průběžek'!$H$2:$J$246,2,FALSE)</f>
        <v>6.5</v>
      </c>
      <c r="H208" s="90">
        <f>VLOOKUP(C208,'do průběžek'!$H$2:$J$246,3,FALSE)</f>
        <v>0</v>
      </c>
      <c r="I208" s="91">
        <v>6608194</v>
      </c>
      <c r="J208" s="91">
        <v>3653154</v>
      </c>
      <c r="K208" s="91">
        <v>3653154</v>
      </c>
      <c r="L208" s="91">
        <v>3181000</v>
      </c>
      <c r="M208" s="91">
        <v>0</v>
      </c>
      <c r="N208" s="91">
        <v>168000</v>
      </c>
      <c r="O208" s="91">
        <v>0</v>
      </c>
      <c r="P208" s="91">
        <v>0</v>
      </c>
      <c r="Q208" s="91">
        <v>0</v>
      </c>
      <c r="R208" s="91">
        <v>0</v>
      </c>
      <c r="S208" s="91">
        <v>282770</v>
      </c>
      <c r="T208" s="91">
        <v>0</v>
      </c>
      <c r="U208" s="91">
        <v>0</v>
      </c>
      <c r="V208" s="91">
        <v>21384</v>
      </c>
      <c r="W208" s="91">
        <v>0</v>
      </c>
      <c r="X208" s="91">
        <v>0</v>
      </c>
      <c r="Y208" s="91">
        <v>0</v>
      </c>
      <c r="Z208" s="91">
        <v>0</v>
      </c>
      <c r="AA208" s="91">
        <v>0</v>
      </c>
      <c r="AB208" s="91">
        <v>0</v>
      </c>
      <c r="AC208" s="91">
        <v>0</v>
      </c>
      <c r="AD208" s="91">
        <v>0</v>
      </c>
      <c r="AE208" s="91">
        <v>0</v>
      </c>
      <c r="AF208" s="91">
        <v>0</v>
      </c>
      <c r="AG208" s="91">
        <v>0</v>
      </c>
      <c r="AH208" s="91">
        <v>251960</v>
      </c>
      <c r="AI208" s="91">
        <v>0</v>
      </c>
      <c r="AJ208" s="91">
        <v>0</v>
      </c>
      <c r="AK208" s="91">
        <v>251960</v>
      </c>
      <c r="AL208" s="91">
        <v>0</v>
      </c>
    </row>
    <row r="209" spans="1:38" ht="55.5" hidden="1" x14ac:dyDescent="0.25">
      <c r="A209" s="89" t="s">
        <v>650</v>
      </c>
      <c r="B209" s="90" t="s">
        <v>741</v>
      </c>
      <c r="C209" s="90">
        <v>4358523</v>
      </c>
      <c r="D209" s="90" t="str">
        <f>VLOOKUP(C209,'do průběžek'!$A$2:$D$246,2,FALSE)</f>
        <v>Ústav</v>
      </c>
      <c r="E209" s="90" t="str">
        <f>VLOOKUP(C209,'do průběžek'!$A$2:$D$246,3,FALSE)</f>
        <v>§56 - Tlumočnické služby</v>
      </c>
      <c r="F209" s="90" t="str">
        <f>VLOOKUP(C209,'do průběžek'!$A$2:$D$246,4,FALSE)</f>
        <v>terénní</v>
      </c>
      <c r="G209" s="90">
        <f>VLOOKUP(C209,'do průběžek'!$H$2:$J$246,2,FALSE)</f>
        <v>0.94</v>
      </c>
      <c r="H209" s="90">
        <f>VLOOKUP(C209,'do průběžek'!$H$2:$J$246,3,FALSE)</f>
        <v>0</v>
      </c>
      <c r="I209" s="91">
        <v>1222564</v>
      </c>
      <c r="J209" s="91">
        <v>567518</v>
      </c>
      <c r="K209" s="91">
        <v>567518</v>
      </c>
      <c r="L209" s="91">
        <v>498000</v>
      </c>
      <c r="M209" s="91">
        <v>0</v>
      </c>
      <c r="N209" s="91">
        <v>20000</v>
      </c>
      <c r="O209" s="91">
        <v>0</v>
      </c>
      <c r="P209" s="91">
        <v>0</v>
      </c>
      <c r="Q209" s="91">
        <v>0</v>
      </c>
      <c r="R209" s="91">
        <v>0</v>
      </c>
      <c r="S209" s="91">
        <v>49518</v>
      </c>
      <c r="T209" s="91">
        <v>0</v>
      </c>
      <c r="U209" s="91">
        <v>0</v>
      </c>
      <c r="V209" s="91">
        <v>0</v>
      </c>
      <c r="W209" s="91">
        <v>0</v>
      </c>
      <c r="X209" s="91">
        <v>0</v>
      </c>
      <c r="Y209" s="91">
        <v>0</v>
      </c>
      <c r="Z209" s="91">
        <v>0</v>
      </c>
      <c r="AA209" s="91">
        <v>0</v>
      </c>
      <c r="AB209" s="91">
        <v>0</v>
      </c>
      <c r="AC209" s="91">
        <v>0</v>
      </c>
      <c r="AD209" s="91">
        <v>0</v>
      </c>
      <c r="AE209" s="91">
        <v>0</v>
      </c>
      <c r="AF209" s="91">
        <v>0</v>
      </c>
      <c r="AG209" s="91">
        <v>0</v>
      </c>
      <c r="AH209" s="91">
        <v>41580</v>
      </c>
      <c r="AI209" s="91">
        <v>5960</v>
      </c>
      <c r="AJ209" s="91">
        <v>0</v>
      </c>
      <c r="AK209" s="91">
        <v>35620</v>
      </c>
      <c r="AL209" s="91">
        <v>0</v>
      </c>
    </row>
    <row r="210" spans="1:38" ht="55.5" hidden="1" x14ac:dyDescent="0.25">
      <c r="A210" s="89" t="s">
        <v>650</v>
      </c>
      <c r="B210" s="90" t="s">
        <v>742</v>
      </c>
      <c r="C210" s="90">
        <v>2584331</v>
      </c>
      <c r="D210" s="90" t="str">
        <f>VLOOKUP(C210,'do průběžek'!$A$2:$D$246,2,FALSE)</f>
        <v>Církve a náboženské společnosti</v>
      </c>
      <c r="E210" s="90" t="str">
        <f>VLOOKUP(C210,'do průběžek'!$A$2:$D$246,3,FALSE)</f>
        <v>§65 - Sociálně aktivizační služby pro rodiny s dětmi</v>
      </c>
      <c r="F210" s="90" t="str">
        <f>VLOOKUP(C210,'do průběžek'!$A$2:$D$246,4,FALSE)</f>
        <v>ambulantní a terénní</v>
      </c>
      <c r="G210" s="90">
        <f>VLOOKUP(C210,'do průběžek'!$H$2:$J$246,2,FALSE)</f>
        <v>3</v>
      </c>
      <c r="H210" s="90">
        <f>VLOOKUP(C210,'do průběžek'!$H$2:$J$246,3,FALSE)</f>
        <v>0</v>
      </c>
      <c r="I210" s="91">
        <v>3118150</v>
      </c>
      <c r="J210" s="91">
        <v>1709569</v>
      </c>
      <c r="K210" s="91">
        <v>1687000</v>
      </c>
      <c r="L210" s="91">
        <v>1474000</v>
      </c>
      <c r="M210" s="91">
        <v>0</v>
      </c>
      <c r="N210" s="91">
        <v>64000</v>
      </c>
      <c r="O210" s="91">
        <v>0</v>
      </c>
      <c r="P210" s="91">
        <v>0</v>
      </c>
      <c r="Q210" s="91">
        <v>0</v>
      </c>
      <c r="R210" s="91">
        <v>0</v>
      </c>
      <c r="S210" s="91">
        <v>149000</v>
      </c>
      <c r="T210" s="91">
        <v>0</v>
      </c>
      <c r="U210" s="91">
        <v>0</v>
      </c>
      <c r="V210" s="91">
        <v>0</v>
      </c>
      <c r="W210" s="91">
        <v>0</v>
      </c>
      <c r="X210" s="91">
        <v>0</v>
      </c>
      <c r="Y210" s="91">
        <v>22569</v>
      </c>
      <c r="Z210" s="91">
        <v>0</v>
      </c>
      <c r="AA210" s="91">
        <v>0</v>
      </c>
      <c r="AB210" s="91">
        <v>0</v>
      </c>
      <c r="AC210" s="91">
        <v>0</v>
      </c>
      <c r="AD210" s="91">
        <v>22569</v>
      </c>
      <c r="AE210" s="91">
        <v>0</v>
      </c>
      <c r="AF210" s="91">
        <v>0</v>
      </c>
      <c r="AG210" s="91">
        <v>0</v>
      </c>
      <c r="AH210" s="91">
        <v>112459</v>
      </c>
      <c r="AI210" s="91">
        <v>5299</v>
      </c>
      <c r="AJ210" s="91">
        <v>0</v>
      </c>
      <c r="AK210" s="91">
        <v>107160</v>
      </c>
      <c r="AL210" s="91">
        <v>0</v>
      </c>
    </row>
    <row r="211" spans="1:38" ht="46.5" hidden="1" x14ac:dyDescent="0.25">
      <c r="A211" s="89" t="s">
        <v>532</v>
      </c>
      <c r="B211" s="90" t="s">
        <v>743</v>
      </c>
      <c r="C211" s="90">
        <v>2480451</v>
      </c>
      <c r="D211" s="90" t="str">
        <f>VLOOKUP(C211,'do průběžek'!$A$2:$D$246,2,FALSE)</f>
        <v>Příspěvková organizace zřízená územním samosprávným celkem</v>
      </c>
      <c r="E211" s="90" t="str">
        <f>VLOOKUP(C211,'do průběžek'!$A$2:$D$246,3,FALSE)</f>
        <v>§49 - Domovy pro seniory</v>
      </c>
      <c r="F211" s="90" t="str">
        <f>VLOOKUP(C211,'do průběžek'!$A$2:$D$246,4,FALSE)</f>
        <v>pobytová</v>
      </c>
      <c r="G211" s="90">
        <f>VLOOKUP(C211,'do průběžek'!$H$2:$J$246,2,FALSE)</f>
        <v>4.72</v>
      </c>
      <c r="H211" s="90">
        <f>VLOOKUP(C211,'do průběžek'!$H$2:$J$246,3,FALSE)</f>
        <v>10</v>
      </c>
      <c r="I211" s="91">
        <v>5465021.0700000003</v>
      </c>
      <c r="J211" s="91">
        <v>2922355.12</v>
      </c>
      <c r="K211" s="91">
        <v>1473000</v>
      </c>
      <c r="L211" s="91">
        <v>980000</v>
      </c>
      <c r="M211" s="91">
        <v>0</v>
      </c>
      <c r="N211" s="91">
        <v>0</v>
      </c>
      <c r="O211" s="91">
        <v>0</v>
      </c>
      <c r="P211" s="91">
        <v>0</v>
      </c>
      <c r="Q211" s="91">
        <v>0</v>
      </c>
      <c r="R211" s="91">
        <v>0</v>
      </c>
      <c r="S211" s="91">
        <v>0</v>
      </c>
      <c r="T211" s="91">
        <v>493000</v>
      </c>
      <c r="U211" s="91">
        <v>0</v>
      </c>
      <c r="V211" s="91">
        <v>0</v>
      </c>
      <c r="W211" s="91">
        <v>0</v>
      </c>
      <c r="X211" s="91">
        <v>0</v>
      </c>
      <c r="Y211" s="91">
        <v>1449355.12</v>
      </c>
      <c r="Z211" s="91">
        <v>1304196.04</v>
      </c>
      <c r="AA211" s="91">
        <v>0</v>
      </c>
      <c r="AB211" s="91">
        <v>144060</v>
      </c>
      <c r="AC211" s="91">
        <v>0</v>
      </c>
      <c r="AD211" s="91">
        <v>0</v>
      </c>
      <c r="AE211" s="91">
        <v>0</v>
      </c>
      <c r="AF211" s="91">
        <v>0</v>
      </c>
      <c r="AG211" s="91">
        <v>1099.08</v>
      </c>
      <c r="AH211" s="91">
        <v>632458</v>
      </c>
      <c r="AI211" s="91">
        <v>271465</v>
      </c>
      <c r="AJ211" s="91">
        <v>0</v>
      </c>
      <c r="AK211" s="91">
        <v>360993</v>
      </c>
      <c r="AL211" s="91">
        <v>0</v>
      </c>
    </row>
    <row r="212" spans="1:38" ht="55.5" hidden="1" x14ac:dyDescent="0.25">
      <c r="A212" s="89" t="s">
        <v>650</v>
      </c>
      <c r="B212" s="90" t="s">
        <v>744</v>
      </c>
      <c r="C212" s="90">
        <v>8492814</v>
      </c>
      <c r="D212" s="90" t="str">
        <f>VLOOKUP(C212,'do průběžek'!$A$2:$D$246,2,FALSE)</f>
        <v>Církve a náboženské společnosti</v>
      </c>
      <c r="E212" s="90" t="str">
        <f>VLOOKUP(C212,'do průběžek'!$A$2:$D$246,3,FALSE)</f>
        <v>§62 - Nízkoprahová zařízení pro děti a mládež</v>
      </c>
      <c r="F212" s="90" t="str">
        <f>VLOOKUP(C212,'do průběžek'!$A$2:$D$246,4,FALSE)</f>
        <v>ambulantní a terénní</v>
      </c>
      <c r="G212" s="90">
        <f>VLOOKUP(C212,'do průběžek'!$H$2:$J$246,2,FALSE)</f>
        <v>3</v>
      </c>
      <c r="H212" s="90">
        <f>VLOOKUP(C212,'do průběžek'!$H$2:$J$246,3,FALSE)</f>
        <v>0</v>
      </c>
      <c r="I212" s="91">
        <v>3220538</v>
      </c>
      <c r="J212" s="91">
        <v>1620929</v>
      </c>
      <c r="K212" s="91">
        <v>1570929</v>
      </c>
      <c r="L212" s="91">
        <v>1289000</v>
      </c>
      <c r="M212" s="91">
        <v>0</v>
      </c>
      <c r="N212" s="91">
        <v>64000</v>
      </c>
      <c r="O212" s="91">
        <v>0</v>
      </c>
      <c r="P212" s="91">
        <v>0</v>
      </c>
      <c r="Q212" s="91">
        <v>0</v>
      </c>
      <c r="R212" s="91">
        <v>0</v>
      </c>
      <c r="S212" s="91">
        <v>217929</v>
      </c>
      <c r="T212" s="91">
        <v>0</v>
      </c>
      <c r="U212" s="91">
        <v>0</v>
      </c>
      <c r="V212" s="91">
        <v>0</v>
      </c>
      <c r="W212" s="91">
        <v>0</v>
      </c>
      <c r="X212" s="91">
        <v>0</v>
      </c>
      <c r="Y212" s="91">
        <v>50000</v>
      </c>
      <c r="Z212" s="91">
        <v>0</v>
      </c>
      <c r="AA212" s="91">
        <v>0</v>
      </c>
      <c r="AB212" s="91">
        <v>0</v>
      </c>
      <c r="AC212" s="91">
        <v>0</v>
      </c>
      <c r="AD212" s="91">
        <v>50000</v>
      </c>
      <c r="AE212" s="91">
        <v>0</v>
      </c>
      <c r="AF212" s="91">
        <v>0</v>
      </c>
      <c r="AG212" s="91">
        <v>0</v>
      </c>
      <c r="AH212" s="91">
        <v>108328</v>
      </c>
      <c r="AI212" s="91">
        <v>0</v>
      </c>
      <c r="AJ212" s="91">
        <v>0</v>
      </c>
      <c r="AK212" s="91">
        <v>108328</v>
      </c>
      <c r="AL212" s="91">
        <v>0</v>
      </c>
    </row>
    <row r="213" spans="1:38" ht="55.5" hidden="1" x14ac:dyDescent="0.25">
      <c r="A213" s="89" t="s">
        <v>650</v>
      </c>
      <c r="B213" s="90" t="s">
        <v>745</v>
      </c>
      <c r="C213" s="90">
        <v>3910140</v>
      </c>
      <c r="D213" s="90" t="str">
        <f>VLOOKUP(C213,'do průběžek'!$A$2:$D$246,2,FALSE)</f>
        <v>Spolek</v>
      </c>
      <c r="E213" s="90" t="str">
        <f>VLOOKUP(C213,'do průběžek'!$A$2:$D$246,3,FALSE)</f>
        <v>§65 - Sociálně aktivizační služby pro rodiny s dětmi</v>
      </c>
      <c r="F213" s="90" t="str">
        <f>VLOOKUP(C213,'do průběžek'!$A$2:$D$246,4,FALSE)</f>
        <v>ambulantní a terénní</v>
      </c>
      <c r="G213" s="90">
        <f>VLOOKUP(C213,'do průběžek'!$H$2:$J$246,2,FALSE)</f>
        <v>5</v>
      </c>
      <c r="H213" s="90">
        <f>VLOOKUP(C213,'do průběžek'!$H$2:$J$246,3,FALSE)</f>
        <v>0</v>
      </c>
      <c r="I213" s="91">
        <v>5196916.67</v>
      </c>
      <c r="J213" s="91">
        <v>2695000</v>
      </c>
      <c r="K213" s="91">
        <v>2675000</v>
      </c>
      <c r="L213" s="91">
        <v>2458000</v>
      </c>
      <c r="M213" s="91">
        <v>0</v>
      </c>
      <c r="N213" s="91">
        <v>107000</v>
      </c>
      <c r="O213" s="91">
        <v>0</v>
      </c>
      <c r="P213" s="91">
        <v>0</v>
      </c>
      <c r="Q213" s="91">
        <v>0</v>
      </c>
      <c r="R213" s="91">
        <v>0</v>
      </c>
      <c r="S213" s="91">
        <v>110000</v>
      </c>
      <c r="T213" s="91">
        <v>0</v>
      </c>
      <c r="U213" s="91">
        <v>0</v>
      </c>
      <c r="V213" s="91">
        <v>0</v>
      </c>
      <c r="W213" s="91">
        <v>0</v>
      </c>
      <c r="X213" s="91">
        <v>0</v>
      </c>
      <c r="Y213" s="91">
        <v>20000</v>
      </c>
      <c r="Z213" s="91">
        <v>0</v>
      </c>
      <c r="AA213" s="91">
        <v>20000</v>
      </c>
      <c r="AB213" s="91">
        <v>0</v>
      </c>
      <c r="AC213" s="91">
        <v>0</v>
      </c>
      <c r="AD213" s="91">
        <v>0</v>
      </c>
      <c r="AE213" s="91">
        <v>0</v>
      </c>
      <c r="AF213" s="91">
        <v>0</v>
      </c>
      <c r="AG213" s="91">
        <v>0</v>
      </c>
      <c r="AH213" s="91">
        <v>199034</v>
      </c>
      <c r="AI213" s="91">
        <v>26338</v>
      </c>
      <c r="AJ213" s="91">
        <v>0</v>
      </c>
      <c r="AK213" s="91">
        <v>172696</v>
      </c>
      <c r="AL213" s="91">
        <v>0</v>
      </c>
    </row>
    <row r="214" spans="1:38" ht="55.5" hidden="1" x14ac:dyDescent="0.25">
      <c r="A214" s="89" t="s">
        <v>650</v>
      </c>
      <c r="B214" s="90" t="s">
        <v>746</v>
      </c>
      <c r="C214" s="90">
        <v>3148048</v>
      </c>
      <c r="D214" s="90" t="str">
        <f>VLOOKUP(C214,'do průběžek'!$A$2:$D$246,2,FALSE)</f>
        <v>Církve a náboženské společnosti</v>
      </c>
      <c r="E214" s="90" t="str">
        <f>VLOOKUP(C214,'do průběžek'!$A$2:$D$246,3,FALSE)</f>
        <v>§65 - Sociálně aktivizační služby pro rodiny s dětmi</v>
      </c>
      <c r="F214" s="90" t="str">
        <f>VLOOKUP(C214,'do průběžek'!$A$2:$D$246,4,FALSE)</f>
        <v>ambulantní a terénní</v>
      </c>
      <c r="G214" s="90">
        <f>VLOOKUP(C214,'do průběžek'!$H$2:$J$246,2,FALSE)</f>
        <v>3</v>
      </c>
      <c r="H214" s="90">
        <f>VLOOKUP(C214,'do průběžek'!$H$2:$J$246,3,FALSE)</f>
        <v>0</v>
      </c>
      <c r="I214" s="91">
        <v>3118150</v>
      </c>
      <c r="J214" s="91">
        <v>1769388.47</v>
      </c>
      <c r="K214" s="91">
        <v>1769388.47</v>
      </c>
      <c r="L214" s="91">
        <v>1146000</v>
      </c>
      <c r="M214" s="91">
        <v>0</v>
      </c>
      <c r="N214" s="91">
        <v>64000</v>
      </c>
      <c r="O214" s="91">
        <v>0</v>
      </c>
      <c r="P214" s="91">
        <v>0</v>
      </c>
      <c r="Q214" s="91">
        <v>0</v>
      </c>
      <c r="R214" s="91">
        <v>0</v>
      </c>
      <c r="S214" s="91">
        <v>200000</v>
      </c>
      <c r="T214" s="91">
        <v>0</v>
      </c>
      <c r="U214" s="91">
        <v>359388.47</v>
      </c>
      <c r="V214" s="91">
        <v>0</v>
      </c>
      <c r="W214" s="91">
        <v>0</v>
      </c>
      <c r="X214" s="91">
        <v>0</v>
      </c>
      <c r="Y214" s="91">
        <v>0</v>
      </c>
      <c r="Z214" s="91">
        <v>0</v>
      </c>
      <c r="AA214" s="91">
        <v>0</v>
      </c>
      <c r="AB214" s="91">
        <v>0</v>
      </c>
      <c r="AC214" s="91">
        <v>0</v>
      </c>
      <c r="AD214" s="91">
        <v>0</v>
      </c>
      <c r="AE214" s="91">
        <v>0</v>
      </c>
      <c r="AF214" s="91">
        <v>0</v>
      </c>
      <c r="AG214" s="91">
        <v>0</v>
      </c>
      <c r="AH214" s="91">
        <v>111595</v>
      </c>
      <c r="AI214" s="91">
        <v>10111</v>
      </c>
      <c r="AJ214" s="91">
        <v>0</v>
      </c>
      <c r="AK214" s="91">
        <v>101484</v>
      </c>
      <c r="AL214" s="91">
        <v>0</v>
      </c>
    </row>
    <row r="215" spans="1:38" ht="46.5" hidden="1" x14ac:dyDescent="0.25">
      <c r="A215" s="89" t="s">
        <v>532</v>
      </c>
      <c r="B215" s="90" t="s">
        <v>747</v>
      </c>
      <c r="C215" s="90">
        <v>8533092</v>
      </c>
      <c r="D215" s="90" t="str">
        <f>VLOOKUP(C215,'do průběžek'!$A$2:$D$246,2,FALSE)</f>
        <v>Spolek</v>
      </c>
      <c r="E215" s="90" t="str">
        <f>VLOOKUP(C215,'do průběžek'!$A$2:$D$246,3,FALSE)</f>
        <v>§51 - Chráněné bydlení</v>
      </c>
      <c r="F215" s="90" t="str">
        <f>VLOOKUP(C215,'do průběžek'!$A$2:$D$246,4,FALSE)</f>
        <v>pobytová</v>
      </c>
      <c r="G215" s="90">
        <f>VLOOKUP(C215,'do průběžek'!$H$2:$J$246,2,FALSE)</f>
        <v>5.35</v>
      </c>
      <c r="H215" s="90">
        <f>VLOOKUP(C215,'do průběžek'!$H$2:$J$246,3,FALSE)</f>
        <v>10</v>
      </c>
      <c r="I215" s="91">
        <v>3636566</v>
      </c>
      <c r="J215" s="91">
        <v>2296794</v>
      </c>
      <c r="K215" s="91">
        <v>1795684</v>
      </c>
      <c r="L215" s="91">
        <v>1653000</v>
      </c>
      <c r="M215" s="91">
        <v>0</v>
      </c>
      <c r="N215" s="91">
        <v>0</v>
      </c>
      <c r="O215" s="91">
        <v>0</v>
      </c>
      <c r="P215" s="91">
        <v>0</v>
      </c>
      <c r="Q215" s="91">
        <v>0</v>
      </c>
      <c r="R215" s="91">
        <v>0</v>
      </c>
      <c r="S215" s="91">
        <v>142684</v>
      </c>
      <c r="T215" s="91">
        <v>0</v>
      </c>
      <c r="U215" s="91">
        <v>0</v>
      </c>
      <c r="V215" s="91">
        <v>0</v>
      </c>
      <c r="W215" s="91">
        <v>0</v>
      </c>
      <c r="X215" s="91">
        <v>0</v>
      </c>
      <c r="Y215" s="91">
        <v>501110</v>
      </c>
      <c r="Z215" s="91">
        <v>401110</v>
      </c>
      <c r="AA215" s="91">
        <v>0</v>
      </c>
      <c r="AB215" s="91">
        <v>0</v>
      </c>
      <c r="AC215" s="91">
        <v>0</v>
      </c>
      <c r="AD215" s="91">
        <v>100000</v>
      </c>
      <c r="AE215" s="91">
        <v>0</v>
      </c>
      <c r="AF215" s="91">
        <v>0</v>
      </c>
      <c r="AG215" s="91">
        <v>0</v>
      </c>
      <c r="AH215" s="91">
        <v>324039</v>
      </c>
      <c r="AI215" s="91">
        <v>60000</v>
      </c>
      <c r="AJ215" s="91">
        <v>100000</v>
      </c>
      <c r="AK215" s="91">
        <v>164039</v>
      </c>
      <c r="AL215" s="91">
        <v>0</v>
      </c>
    </row>
    <row r="216" spans="1:38" ht="55.5" hidden="1" x14ac:dyDescent="0.25">
      <c r="A216" s="89" t="s">
        <v>650</v>
      </c>
      <c r="B216" s="90" t="s">
        <v>748</v>
      </c>
      <c r="C216" s="90">
        <v>8899363</v>
      </c>
      <c r="D216" s="90" t="str">
        <f>VLOOKUP(C216,'do průběžek'!$A$2:$D$246,2,FALSE)</f>
        <v>Spolek</v>
      </c>
      <c r="E216" s="90" t="str">
        <f>VLOOKUP(C216,'do průběžek'!$A$2:$D$246,3,FALSE)</f>
        <v>§70 - Sociální rehabilitace</v>
      </c>
      <c r="F216" s="90" t="str">
        <f>VLOOKUP(C216,'do průběžek'!$A$2:$D$246,4,FALSE)</f>
        <v>ambulantní</v>
      </c>
      <c r="G216" s="90">
        <f>VLOOKUP(C216,'do průběžek'!$H$2:$J$246,2,FALSE)</f>
        <v>2</v>
      </c>
      <c r="H216" s="90">
        <f>VLOOKUP(C216,'do průběžek'!$H$2:$J$246,3,FALSE)</f>
        <v>0</v>
      </c>
      <c r="I216" s="91">
        <v>2033291</v>
      </c>
      <c r="J216" s="91">
        <v>1366493</v>
      </c>
      <c r="K216" s="91">
        <v>1366493</v>
      </c>
      <c r="L216" s="91">
        <v>1303493</v>
      </c>
      <c r="M216" s="91">
        <v>0</v>
      </c>
      <c r="N216" s="91">
        <v>52000</v>
      </c>
      <c r="O216" s="91">
        <v>0</v>
      </c>
      <c r="P216" s="91">
        <v>0</v>
      </c>
      <c r="Q216" s="91">
        <v>0</v>
      </c>
      <c r="R216" s="91">
        <v>0</v>
      </c>
      <c r="S216" s="91">
        <v>11000</v>
      </c>
      <c r="T216" s="91">
        <v>0</v>
      </c>
      <c r="U216" s="91">
        <v>0</v>
      </c>
      <c r="V216" s="91">
        <v>0</v>
      </c>
      <c r="W216" s="91">
        <v>0</v>
      </c>
      <c r="X216" s="91">
        <v>0</v>
      </c>
      <c r="Y216" s="91">
        <v>0</v>
      </c>
      <c r="Z216" s="91">
        <v>0</v>
      </c>
      <c r="AA216" s="91">
        <v>0</v>
      </c>
      <c r="AB216" s="91">
        <v>0</v>
      </c>
      <c r="AC216" s="91">
        <v>0</v>
      </c>
      <c r="AD216" s="91">
        <v>0</v>
      </c>
      <c r="AE216" s="91">
        <v>0</v>
      </c>
      <c r="AF216" s="91">
        <v>0</v>
      </c>
      <c r="AG216" s="91">
        <v>0</v>
      </c>
      <c r="AH216" s="91">
        <v>74928</v>
      </c>
      <c r="AI216" s="91">
        <v>0</v>
      </c>
      <c r="AJ216" s="91">
        <v>0</v>
      </c>
      <c r="AK216" s="91">
        <v>74928</v>
      </c>
      <c r="AL216" s="91">
        <v>0</v>
      </c>
    </row>
    <row r="217" spans="1:38" ht="46.5" hidden="1" x14ac:dyDescent="0.25">
      <c r="A217" s="89" t="s">
        <v>532</v>
      </c>
      <c r="B217" s="90" t="s">
        <v>749</v>
      </c>
      <c r="C217" s="90">
        <v>5861633</v>
      </c>
      <c r="D217" s="90" t="str">
        <f>VLOOKUP(C217,'do průběžek'!$A$2:$D$246,2,FALSE)</f>
        <v>Příspěvková organizace zřízená územním samosprávným celkem</v>
      </c>
      <c r="E217" s="90" t="str">
        <f>VLOOKUP(C217,'do průběžek'!$A$2:$D$246,3,FALSE)</f>
        <v>§46 - Denní stacionáře</v>
      </c>
      <c r="F217" s="90" t="str">
        <f>VLOOKUP(C217,'do průběžek'!$A$2:$D$246,4,FALSE)</f>
        <v>ambulantní</v>
      </c>
      <c r="G217" s="90">
        <f>VLOOKUP(C217,'do průběžek'!$H$2:$J$246,2,FALSE)</f>
        <v>2.1</v>
      </c>
      <c r="H217" s="90">
        <f>VLOOKUP(C217,'do průběžek'!$H$2:$J$246,3,FALSE)</f>
        <v>0</v>
      </c>
      <c r="I217" s="91">
        <v>2235737</v>
      </c>
      <c r="J217" s="91">
        <v>662888</v>
      </c>
      <c r="K217" s="91">
        <v>586000</v>
      </c>
      <c r="L217" s="91">
        <v>586000</v>
      </c>
      <c r="M217" s="91">
        <v>0</v>
      </c>
      <c r="N217" s="91">
        <v>0</v>
      </c>
      <c r="O217" s="91">
        <v>0</v>
      </c>
      <c r="P217" s="91">
        <v>0</v>
      </c>
      <c r="Q217" s="91">
        <v>0</v>
      </c>
      <c r="R217" s="91">
        <v>0</v>
      </c>
      <c r="S217" s="91">
        <v>0</v>
      </c>
      <c r="T217" s="91">
        <v>0</v>
      </c>
      <c r="U217" s="91">
        <v>0</v>
      </c>
      <c r="V217" s="91">
        <v>0</v>
      </c>
      <c r="W217" s="91">
        <v>0</v>
      </c>
      <c r="X217" s="91">
        <v>0</v>
      </c>
      <c r="Y217" s="91">
        <v>76888</v>
      </c>
      <c r="Z217" s="91">
        <v>76888</v>
      </c>
      <c r="AA217" s="91">
        <v>0</v>
      </c>
      <c r="AB217" s="91">
        <v>0</v>
      </c>
      <c r="AC217" s="91">
        <v>0</v>
      </c>
      <c r="AD217" s="91">
        <v>0</v>
      </c>
      <c r="AE217" s="91">
        <v>0</v>
      </c>
      <c r="AF217" s="91">
        <v>0</v>
      </c>
      <c r="AG217" s="91">
        <v>0</v>
      </c>
      <c r="AH217" s="91">
        <v>0</v>
      </c>
      <c r="AI217" s="91">
        <v>0</v>
      </c>
      <c r="AJ217" s="91">
        <v>0</v>
      </c>
      <c r="AK217" s="91">
        <v>0</v>
      </c>
      <c r="AL217" s="91">
        <v>0</v>
      </c>
    </row>
    <row r="218" spans="1:38" ht="46.5" hidden="1" x14ac:dyDescent="0.25">
      <c r="A218" s="89" t="s">
        <v>532</v>
      </c>
      <c r="B218" s="90" t="s">
        <v>750</v>
      </c>
      <c r="C218" s="90">
        <v>6907978</v>
      </c>
      <c r="D218" s="90" t="str">
        <f>VLOOKUP(C218,'do průběžek'!$A$2:$D$246,2,FALSE)</f>
        <v>Příspěvková organizace zřízená územním samosprávným celkem</v>
      </c>
      <c r="E218" s="90" t="str">
        <f>VLOOKUP(C218,'do průběžek'!$A$2:$D$246,3,FALSE)</f>
        <v>§44 - Odlehčovací služby</v>
      </c>
      <c r="F218" s="90" t="str">
        <f>VLOOKUP(C218,'do průběžek'!$A$2:$D$246,4,FALSE)</f>
        <v>pobytová</v>
      </c>
      <c r="G218" s="90">
        <f>VLOOKUP(C218,'do průběžek'!$H$2:$J$246,2,FALSE)</f>
        <v>4.2</v>
      </c>
      <c r="H218" s="90">
        <f>VLOOKUP(C218,'do průběžek'!$H$2:$J$246,3,FALSE)</f>
        <v>2</v>
      </c>
      <c r="I218" s="91">
        <v>1855000</v>
      </c>
      <c r="J218" s="91">
        <v>1053880</v>
      </c>
      <c r="K218" s="91">
        <v>967000</v>
      </c>
      <c r="L218" s="91">
        <v>957000</v>
      </c>
      <c r="M218" s="91">
        <v>0</v>
      </c>
      <c r="N218" s="91">
        <v>0</v>
      </c>
      <c r="O218" s="91">
        <v>0</v>
      </c>
      <c r="P218" s="91">
        <v>0</v>
      </c>
      <c r="Q218" s="91">
        <v>0</v>
      </c>
      <c r="R218" s="91">
        <v>0</v>
      </c>
      <c r="S218" s="91">
        <v>0</v>
      </c>
      <c r="T218" s="91">
        <v>10000</v>
      </c>
      <c r="U218" s="91">
        <v>0</v>
      </c>
      <c r="V218" s="91">
        <v>0</v>
      </c>
      <c r="W218" s="91">
        <v>0</v>
      </c>
      <c r="X218" s="91">
        <v>0</v>
      </c>
      <c r="Y218" s="91">
        <v>86880</v>
      </c>
      <c r="Z218" s="91">
        <v>86880</v>
      </c>
      <c r="AA218" s="91">
        <v>0</v>
      </c>
      <c r="AB218" s="91">
        <v>0</v>
      </c>
      <c r="AC218" s="91">
        <v>0</v>
      </c>
      <c r="AD218" s="91">
        <v>0</v>
      </c>
      <c r="AE218" s="91">
        <v>0</v>
      </c>
      <c r="AF218" s="91">
        <v>0</v>
      </c>
      <c r="AG218" s="91">
        <v>0</v>
      </c>
      <c r="AH218" s="91">
        <v>203513</v>
      </c>
      <c r="AI218" s="91">
        <v>11000</v>
      </c>
      <c r="AJ218" s="91">
        <v>0</v>
      </c>
      <c r="AK218" s="91">
        <v>192513</v>
      </c>
      <c r="AL218" s="91">
        <v>0</v>
      </c>
    </row>
    <row r="219" spans="1:38" ht="64.5" hidden="1" x14ac:dyDescent="0.25">
      <c r="A219" s="89" t="s">
        <v>633</v>
      </c>
      <c r="B219" s="90" t="s">
        <v>751</v>
      </c>
      <c r="C219" s="90">
        <v>1464519</v>
      </c>
      <c r="D219" s="90" t="str">
        <f>VLOOKUP(C219,'do průběžek'!$A$2:$D$246,2,FALSE)</f>
        <v>Obecně prospěšná společnost</v>
      </c>
      <c r="E219" s="90" t="str">
        <f>VLOOKUP(C219,'do průběžek'!$A$2:$D$246,3,FALSE)</f>
        <v>§37 - Odborné sociální poradenství</v>
      </c>
      <c r="F219" s="90" t="str">
        <f>VLOOKUP(C219,'do průběžek'!$A$2:$D$246,4,FALSE)</f>
        <v>ambulantní a terénní</v>
      </c>
      <c r="G219" s="90">
        <f>VLOOKUP(C219,'do průběžek'!$H$2:$J$246,2,FALSE)</f>
        <v>2</v>
      </c>
      <c r="H219" s="90">
        <f>VLOOKUP(C219,'do průběžek'!$H$2:$J$246,3,FALSE)</f>
        <v>0</v>
      </c>
      <c r="I219" s="91">
        <v>2192410</v>
      </c>
      <c r="J219" s="91">
        <v>890289</v>
      </c>
      <c r="K219" s="91">
        <v>890289</v>
      </c>
      <c r="L219" s="91">
        <v>804000</v>
      </c>
      <c r="M219" s="91">
        <v>0</v>
      </c>
      <c r="N219" s="91">
        <v>0</v>
      </c>
      <c r="O219" s="91">
        <v>0</v>
      </c>
      <c r="P219" s="91">
        <v>0</v>
      </c>
      <c r="Q219" s="91">
        <v>0</v>
      </c>
      <c r="R219" s="91">
        <v>0</v>
      </c>
      <c r="S219" s="91">
        <v>86289</v>
      </c>
      <c r="T219" s="91">
        <v>0</v>
      </c>
      <c r="U219" s="91">
        <v>0</v>
      </c>
      <c r="V219" s="91">
        <v>0</v>
      </c>
      <c r="W219" s="91">
        <v>0</v>
      </c>
      <c r="X219" s="91">
        <v>0</v>
      </c>
      <c r="Y219" s="91">
        <v>0</v>
      </c>
      <c r="Z219" s="91">
        <v>0</v>
      </c>
      <c r="AA219" s="91">
        <v>0</v>
      </c>
      <c r="AB219" s="91">
        <v>0</v>
      </c>
      <c r="AC219" s="91">
        <v>0</v>
      </c>
      <c r="AD219" s="91">
        <v>0</v>
      </c>
      <c r="AE219" s="91">
        <v>0</v>
      </c>
      <c r="AF219" s="91">
        <v>0</v>
      </c>
      <c r="AG219" s="91">
        <v>0</v>
      </c>
      <c r="AH219" s="91">
        <v>449615</v>
      </c>
      <c r="AI219" s="91">
        <v>55448</v>
      </c>
      <c r="AJ219" s="91">
        <v>394167</v>
      </c>
      <c r="AK219" s="91">
        <v>0</v>
      </c>
      <c r="AL219" s="91">
        <v>0</v>
      </c>
    </row>
    <row r="220" spans="1:38" ht="46.5" hidden="1" x14ac:dyDescent="0.25">
      <c r="A220" s="89" t="s">
        <v>532</v>
      </c>
      <c r="B220" s="90" t="s">
        <v>752</v>
      </c>
      <c r="C220" s="90">
        <v>7885329</v>
      </c>
      <c r="D220" s="90" t="str">
        <f>VLOOKUP(C220,'do průběžek'!$A$2:$D$246,2,FALSE)</f>
        <v>Společnost s ručením omezeným</v>
      </c>
      <c r="E220" s="90" t="str">
        <f>VLOOKUP(C220,'do průběžek'!$A$2:$D$246,3,FALSE)</f>
        <v>§46 - Denní stacionáře</v>
      </c>
      <c r="F220" s="90" t="str">
        <f>VLOOKUP(C220,'do průběžek'!$A$2:$D$246,4,FALSE)</f>
        <v>ambulantní</v>
      </c>
      <c r="G220" s="90">
        <f>VLOOKUP(C220,'do průběžek'!$H$2:$J$246,2,FALSE)</f>
        <v>4.3</v>
      </c>
      <c r="H220" s="90">
        <f>VLOOKUP(C220,'do průběžek'!$H$2:$J$246,3,FALSE)</f>
        <v>0</v>
      </c>
      <c r="I220" s="91">
        <v>4522805</v>
      </c>
      <c r="J220" s="91">
        <v>2680593</v>
      </c>
      <c r="K220" s="91">
        <v>2297565</v>
      </c>
      <c r="L220" s="91">
        <v>1869000</v>
      </c>
      <c r="M220" s="91">
        <v>0</v>
      </c>
      <c r="N220" s="91">
        <v>111000</v>
      </c>
      <c r="O220" s="91">
        <v>0</v>
      </c>
      <c r="P220" s="91">
        <v>0</v>
      </c>
      <c r="Q220" s="91">
        <v>0</v>
      </c>
      <c r="R220" s="91">
        <v>0</v>
      </c>
      <c r="S220" s="91">
        <v>112151</v>
      </c>
      <c r="T220" s="91">
        <v>0</v>
      </c>
      <c r="U220" s="91">
        <v>0</v>
      </c>
      <c r="V220" s="91">
        <v>205414</v>
      </c>
      <c r="W220" s="91">
        <v>0</v>
      </c>
      <c r="X220" s="91">
        <v>0</v>
      </c>
      <c r="Y220" s="91">
        <v>383028</v>
      </c>
      <c r="Z220" s="91">
        <v>325021</v>
      </c>
      <c r="AA220" s="91">
        <v>25000</v>
      </c>
      <c r="AB220" s="91">
        <v>0</v>
      </c>
      <c r="AC220" s="91">
        <v>0</v>
      </c>
      <c r="AD220" s="91">
        <v>15000</v>
      </c>
      <c r="AE220" s="91">
        <v>16147</v>
      </c>
      <c r="AF220" s="91">
        <v>0</v>
      </c>
      <c r="AG220" s="91">
        <v>1860</v>
      </c>
      <c r="AH220" s="91">
        <v>311855</v>
      </c>
      <c r="AI220" s="91">
        <v>105000</v>
      </c>
      <c r="AJ220" s="91">
        <v>0</v>
      </c>
      <c r="AK220" s="91">
        <v>206855</v>
      </c>
      <c r="AL220" s="91">
        <v>0</v>
      </c>
    </row>
    <row r="221" spans="1:38" ht="46.5" hidden="1" x14ac:dyDescent="0.25">
      <c r="A221" s="89" t="s">
        <v>532</v>
      </c>
      <c r="B221" s="90" t="s">
        <v>753</v>
      </c>
      <c r="C221" s="90">
        <v>4630845</v>
      </c>
      <c r="D221" s="90" t="str">
        <f>VLOOKUP(C221,'do průběžek'!$A$2:$D$246,2,FALSE)</f>
        <v>PO kraje</v>
      </c>
      <c r="E221" s="90" t="str">
        <f>VLOOKUP(C221,'do průběžek'!$A$2:$D$246,3,FALSE)</f>
        <v>§50 - Domovy se zvláštním režimem</v>
      </c>
      <c r="F221" s="90" t="str">
        <f>VLOOKUP(C221,'do průběžek'!$A$2:$D$246,4,FALSE)</f>
        <v>pobytová</v>
      </c>
      <c r="G221" s="90">
        <f>VLOOKUP(C221,'do průběžek'!$H$2:$J$246,2,FALSE)</f>
        <v>15.6</v>
      </c>
      <c r="H221" s="90">
        <f>VLOOKUP(C221,'do průběžek'!$H$2:$J$246,3,FALSE)</f>
        <v>22</v>
      </c>
      <c r="I221" s="91">
        <v>11602505.310000001</v>
      </c>
      <c r="J221" s="91">
        <v>11179080.85</v>
      </c>
      <c r="K221" s="91">
        <v>7741344</v>
      </c>
      <c r="L221" s="91">
        <v>6060000</v>
      </c>
      <c r="M221" s="91">
        <v>1681344</v>
      </c>
      <c r="N221" s="91">
        <v>0</v>
      </c>
      <c r="O221" s="91">
        <v>0</v>
      </c>
      <c r="P221" s="91">
        <v>0</v>
      </c>
      <c r="Q221" s="91">
        <v>0</v>
      </c>
      <c r="R221" s="91">
        <v>0</v>
      </c>
      <c r="S221" s="91">
        <v>0</v>
      </c>
      <c r="T221" s="91">
        <v>0</v>
      </c>
      <c r="U221" s="91">
        <v>0</v>
      </c>
      <c r="V221" s="91">
        <v>0</v>
      </c>
      <c r="W221" s="91">
        <v>0</v>
      </c>
      <c r="X221" s="91">
        <v>0</v>
      </c>
      <c r="Y221" s="91">
        <v>3437736.85</v>
      </c>
      <c r="Z221" s="91">
        <v>2807259</v>
      </c>
      <c r="AA221" s="91">
        <v>0</v>
      </c>
      <c r="AB221" s="91">
        <v>564796.21</v>
      </c>
      <c r="AC221" s="91">
        <v>0</v>
      </c>
      <c r="AD221" s="91">
        <v>0</v>
      </c>
      <c r="AE221" s="91">
        <v>65681.64</v>
      </c>
      <c r="AF221" s="91">
        <v>0</v>
      </c>
      <c r="AG221" s="91">
        <v>0</v>
      </c>
      <c r="AH221" s="91">
        <v>1775935</v>
      </c>
      <c r="AI221" s="91">
        <v>491726</v>
      </c>
      <c r="AJ221" s="91">
        <v>0</v>
      </c>
      <c r="AK221" s="91">
        <v>1226009</v>
      </c>
      <c r="AL221" s="91">
        <v>58200</v>
      </c>
    </row>
    <row r="222" spans="1:38" ht="46.5" hidden="1" x14ac:dyDescent="0.25">
      <c r="A222" s="89" t="s">
        <v>532</v>
      </c>
      <c r="B222" s="90" t="s">
        <v>754</v>
      </c>
      <c r="C222" s="90">
        <v>1201824</v>
      </c>
      <c r="D222" s="90" t="str">
        <f>VLOOKUP(C222,'do průběžek'!$A$2:$D$246,2,FALSE)</f>
        <v>Zapsaný ústav</v>
      </c>
      <c r="E222" s="90" t="str">
        <f>VLOOKUP(C222,'do průběžek'!$A$2:$D$246,3,FALSE)</f>
        <v>§51 - Chráněné bydlení</v>
      </c>
      <c r="F222" s="90" t="str">
        <f>VLOOKUP(C222,'do průběžek'!$A$2:$D$246,4,FALSE)</f>
        <v>pobytová</v>
      </c>
      <c r="G222" s="90">
        <f>VLOOKUP(C222,'do průběžek'!$H$2:$J$246,2,FALSE)</f>
        <v>0.6</v>
      </c>
      <c r="H222" s="90">
        <f>VLOOKUP(C222,'do průběžek'!$H$2:$J$246,3,FALSE)</f>
        <v>2</v>
      </c>
      <c r="I222" s="91">
        <v>602313.28</v>
      </c>
      <c r="J222" s="91">
        <v>1435717</v>
      </c>
      <c r="K222" s="91">
        <v>1300000</v>
      </c>
      <c r="L222" s="91">
        <v>322000</v>
      </c>
      <c r="M222" s="91">
        <v>0</v>
      </c>
      <c r="N222" s="91">
        <v>13000</v>
      </c>
      <c r="O222" s="91">
        <v>0</v>
      </c>
      <c r="P222" s="91">
        <v>0</v>
      </c>
      <c r="Q222" s="91">
        <v>0</v>
      </c>
      <c r="R222" s="91">
        <v>965000</v>
      </c>
      <c r="S222" s="91">
        <v>0</v>
      </c>
      <c r="T222" s="91">
        <v>0</v>
      </c>
      <c r="U222" s="91">
        <v>0</v>
      </c>
      <c r="V222" s="91">
        <v>0</v>
      </c>
      <c r="W222" s="91">
        <v>0</v>
      </c>
      <c r="X222" s="91">
        <v>0</v>
      </c>
      <c r="Y222" s="91">
        <v>135717</v>
      </c>
      <c r="Z222" s="91">
        <v>135717</v>
      </c>
      <c r="AA222" s="91">
        <v>0</v>
      </c>
      <c r="AB222" s="91">
        <v>0</v>
      </c>
      <c r="AC222" s="91">
        <v>0</v>
      </c>
      <c r="AD222" s="91">
        <v>0</v>
      </c>
      <c r="AE222" s="91">
        <v>0</v>
      </c>
      <c r="AF222" s="91">
        <v>0</v>
      </c>
      <c r="AG222" s="91">
        <v>0</v>
      </c>
      <c r="AH222" s="91">
        <v>78942</v>
      </c>
      <c r="AI222" s="91">
        <v>0</v>
      </c>
      <c r="AJ222" s="91">
        <v>0</v>
      </c>
      <c r="AK222" s="91">
        <v>78942</v>
      </c>
      <c r="AL222" s="91">
        <v>0</v>
      </c>
    </row>
    <row r="223" spans="1:38" ht="46.5" hidden="1" x14ac:dyDescent="0.25">
      <c r="A223" s="89" t="s">
        <v>532</v>
      </c>
      <c r="B223" s="90" t="s">
        <v>608</v>
      </c>
      <c r="C223" s="90">
        <v>3069495</v>
      </c>
      <c r="D223" s="90" t="str">
        <f>VLOOKUP(C223,'do průběžek'!$A$2:$D$246,2,FALSE)</f>
        <v>Obecně prospěšná společnost</v>
      </c>
      <c r="E223" s="90" t="str">
        <f>VLOOKUP(C223,'do průběžek'!$A$2:$D$246,3,FALSE)</f>
        <v>§44 - Odlehčovací služby</v>
      </c>
      <c r="F223" s="90" t="str">
        <f>VLOOKUP(C223,'do průběžek'!$A$2:$D$246,4,FALSE)</f>
        <v>pobytová</v>
      </c>
      <c r="G223" s="90">
        <f>VLOOKUP(C223,'do průběžek'!$H$2:$J$246,2,FALSE)</f>
        <v>6</v>
      </c>
      <c r="H223" s="90">
        <f>VLOOKUP(C223,'do průběžek'!$H$2:$J$246,3,FALSE)</f>
        <v>7</v>
      </c>
      <c r="I223" s="91">
        <v>5605171</v>
      </c>
      <c r="J223" s="91">
        <v>3611000</v>
      </c>
      <c r="K223" s="91">
        <v>2811000</v>
      </c>
      <c r="L223" s="91">
        <v>2683000</v>
      </c>
      <c r="M223" s="91">
        <v>0</v>
      </c>
      <c r="N223" s="91">
        <v>128000</v>
      </c>
      <c r="O223" s="91">
        <v>0</v>
      </c>
      <c r="P223" s="91">
        <v>0</v>
      </c>
      <c r="Q223" s="91">
        <v>0</v>
      </c>
      <c r="R223" s="91">
        <v>0</v>
      </c>
      <c r="S223" s="91">
        <v>0</v>
      </c>
      <c r="T223" s="91">
        <v>0</v>
      </c>
      <c r="U223" s="91">
        <v>0</v>
      </c>
      <c r="V223" s="91">
        <v>0</v>
      </c>
      <c r="W223" s="91">
        <v>0</v>
      </c>
      <c r="X223" s="91">
        <v>0</v>
      </c>
      <c r="Y223" s="91">
        <v>800000</v>
      </c>
      <c r="Z223" s="91">
        <v>750000</v>
      </c>
      <c r="AA223" s="91">
        <v>0</v>
      </c>
      <c r="AB223" s="91">
        <v>0</v>
      </c>
      <c r="AC223" s="91">
        <v>0</v>
      </c>
      <c r="AD223" s="91">
        <v>50000</v>
      </c>
      <c r="AE223" s="91">
        <v>0</v>
      </c>
      <c r="AF223" s="91">
        <v>0</v>
      </c>
      <c r="AG223" s="91">
        <v>0</v>
      </c>
      <c r="AH223" s="91">
        <v>539937</v>
      </c>
      <c r="AI223" s="91">
        <v>0</v>
      </c>
      <c r="AJ223" s="91">
        <v>0</v>
      </c>
      <c r="AK223" s="91">
        <v>539937</v>
      </c>
      <c r="AL223" s="91">
        <v>0</v>
      </c>
    </row>
    <row r="224" spans="1:38" ht="46.5" hidden="1" x14ac:dyDescent="0.25">
      <c r="A224" s="89" t="s">
        <v>532</v>
      </c>
      <c r="B224" s="90" t="s">
        <v>755</v>
      </c>
      <c r="C224" s="90">
        <v>1660265</v>
      </c>
      <c r="D224" s="90" t="str">
        <f>VLOOKUP(C224,'do průběžek'!$A$2:$D$246,2,FALSE)</f>
        <v>PO kraje</v>
      </c>
      <c r="E224" s="90" t="str">
        <f>VLOOKUP(C224,'do průběžek'!$A$2:$D$246,3,FALSE)</f>
        <v>§44 - Odlehčovací služby</v>
      </c>
      <c r="F224" s="90" t="str">
        <f>VLOOKUP(C224,'do průběžek'!$A$2:$D$246,4,FALSE)</f>
        <v>pobytová</v>
      </c>
      <c r="G224" s="90">
        <f>VLOOKUP(C224,'do průběžek'!$H$2:$J$246,2,FALSE)</f>
        <v>4</v>
      </c>
      <c r="H224" s="90">
        <f>VLOOKUP(C224,'do průběžek'!$H$2:$J$246,3,FALSE)</f>
        <v>10</v>
      </c>
      <c r="I224" s="91">
        <v>9007388</v>
      </c>
      <c r="J224" s="91">
        <v>2541666.7200000002</v>
      </c>
      <c r="K224" s="91">
        <v>2407210</v>
      </c>
      <c r="L224" s="91">
        <v>2092000</v>
      </c>
      <c r="M224" s="91">
        <v>315210</v>
      </c>
      <c r="N224" s="91">
        <v>0</v>
      </c>
      <c r="O224" s="91">
        <v>0</v>
      </c>
      <c r="P224" s="91">
        <v>0</v>
      </c>
      <c r="Q224" s="91">
        <v>0</v>
      </c>
      <c r="R224" s="91">
        <v>0</v>
      </c>
      <c r="S224" s="91">
        <v>0</v>
      </c>
      <c r="T224" s="91">
        <v>0</v>
      </c>
      <c r="U224" s="91">
        <v>0</v>
      </c>
      <c r="V224" s="91">
        <v>0</v>
      </c>
      <c r="W224" s="91">
        <v>0</v>
      </c>
      <c r="X224" s="91">
        <v>0</v>
      </c>
      <c r="Y224" s="91">
        <v>134456.72</v>
      </c>
      <c r="Z224" s="91">
        <v>130857</v>
      </c>
      <c r="AA224" s="91">
        <v>0</v>
      </c>
      <c r="AB224" s="91">
        <v>0</v>
      </c>
      <c r="AC224" s="91">
        <v>0</v>
      </c>
      <c r="AD224" s="91">
        <v>572.1</v>
      </c>
      <c r="AE224" s="91">
        <v>0</v>
      </c>
      <c r="AF224" s="91">
        <v>0</v>
      </c>
      <c r="AG224" s="91">
        <v>3027.62</v>
      </c>
      <c r="AH224" s="91">
        <v>698748</v>
      </c>
      <c r="AI224" s="91">
        <v>18500</v>
      </c>
      <c r="AJ224" s="91">
        <v>402212</v>
      </c>
      <c r="AK224" s="91">
        <v>278036</v>
      </c>
      <c r="AL224" s="91">
        <v>0</v>
      </c>
    </row>
    <row r="225" spans="1:38" ht="46.5" hidden="1" x14ac:dyDescent="0.25">
      <c r="A225" s="89" t="s">
        <v>532</v>
      </c>
      <c r="B225" s="90" t="s">
        <v>756</v>
      </c>
      <c r="C225" s="90">
        <v>7663161</v>
      </c>
      <c r="D225" s="90" t="str">
        <f>VLOOKUP(C225,'do průběžek'!$A$2:$D$246,2,FALSE)</f>
        <v>Příspěvková organizace zřízená územním samosprávným celkem</v>
      </c>
      <c r="E225" s="90" t="str">
        <f>VLOOKUP(C225,'do průběžek'!$A$2:$D$246,3,FALSE)</f>
        <v>§40 - Pečovatelská služba</v>
      </c>
      <c r="F225" s="90" t="str">
        <f>VLOOKUP(C225,'do průběžek'!$A$2:$D$246,4,FALSE)</f>
        <v>terénní</v>
      </c>
      <c r="G225" s="90">
        <f>VLOOKUP(C225,'do průběžek'!$H$2:$J$246,2,FALSE)</f>
        <v>9</v>
      </c>
      <c r="H225" s="90">
        <f>VLOOKUP(C225,'do průběžek'!$H$2:$J$246,3,FALSE)</f>
        <v>0</v>
      </c>
      <c r="I225" s="91">
        <v>8489461</v>
      </c>
      <c r="J225" s="91">
        <v>4849316</v>
      </c>
      <c r="K225" s="91">
        <v>4377280</v>
      </c>
      <c r="L225" s="91">
        <v>2391000</v>
      </c>
      <c r="M225" s="91">
        <v>0</v>
      </c>
      <c r="N225" s="91">
        <v>0</v>
      </c>
      <c r="O225" s="91">
        <v>0</v>
      </c>
      <c r="P225" s="91">
        <v>0</v>
      </c>
      <c r="Q225" s="91">
        <v>0</v>
      </c>
      <c r="R225" s="91">
        <v>0</v>
      </c>
      <c r="S225" s="91">
        <v>99280</v>
      </c>
      <c r="T225" s="91">
        <v>1887000</v>
      </c>
      <c r="U225" s="91">
        <v>0</v>
      </c>
      <c r="V225" s="91">
        <v>0</v>
      </c>
      <c r="W225" s="91">
        <v>0</v>
      </c>
      <c r="X225" s="91">
        <v>0</v>
      </c>
      <c r="Y225" s="91">
        <v>472036</v>
      </c>
      <c r="Z225" s="91">
        <v>471271</v>
      </c>
      <c r="AA225" s="91">
        <v>0</v>
      </c>
      <c r="AB225" s="91">
        <v>0</v>
      </c>
      <c r="AC225" s="91">
        <v>0</v>
      </c>
      <c r="AD225" s="91">
        <v>0</v>
      </c>
      <c r="AE225" s="91">
        <v>765</v>
      </c>
      <c r="AF225" s="91">
        <v>0</v>
      </c>
      <c r="AG225" s="91">
        <v>0</v>
      </c>
      <c r="AH225" s="91">
        <v>524067</v>
      </c>
      <c r="AI225" s="91">
        <v>0</v>
      </c>
      <c r="AJ225" s="91">
        <v>0</v>
      </c>
      <c r="AK225" s="91">
        <v>524067</v>
      </c>
      <c r="AL225" s="91">
        <v>0</v>
      </c>
    </row>
    <row r="226" spans="1:38" ht="55.5" hidden="1" x14ac:dyDescent="0.25">
      <c r="A226" s="89" t="s">
        <v>650</v>
      </c>
      <c r="B226" s="90" t="s">
        <v>757</v>
      </c>
      <c r="C226" s="90">
        <v>7228496</v>
      </c>
      <c r="D226" s="90" t="str">
        <f>VLOOKUP(C226,'do průběžek'!$A$2:$D$246,2,FALSE)</f>
        <v>Obecně prospěšná společnost</v>
      </c>
      <c r="E226" s="90" t="str">
        <f>VLOOKUP(C226,'do průběžek'!$A$2:$D$246,3,FALSE)</f>
        <v>§57 - Azylové domy</v>
      </c>
      <c r="F226" s="90" t="str">
        <f>VLOOKUP(C226,'do průběžek'!$A$2:$D$246,4,FALSE)</f>
        <v>pobytová</v>
      </c>
      <c r="G226" s="90">
        <f>VLOOKUP(C226,'do průběžek'!$H$2:$J$246,2,FALSE)</f>
        <v>8</v>
      </c>
      <c r="H226" s="90">
        <f>VLOOKUP(C226,'do průběžek'!$H$2:$J$246,3,FALSE)</f>
        <v>22</v>
      </c>
      <c r="I226" s="91">
        <v>5416733</v>
      </c>
      <c r="J226" s="91">
        <v>2788278.75</v>
      </c>
      <c r="K226" s="91">
        <v>2688278.75</v>
      </c>
      <c r="L226" s="91">
        <v>625000</v>
      </c>
      <c r="M226" s="91">
        <v>0</v>
      </c>
      <c r="N226" s="91">
        <v>0</v>
      </c>
      <c r="O226" s="91">
        <v>0</v>
      </c>
      <c r="P226" s="91">
        <v>0</v>
      </c>
      <c r="Q226" s="91">
        <v>0</v>
      </c>
      <c r="R226" s="91">
        <v>0</v>
      </c>
      <c r="S226" s="91">
        <v>100000</v>
      </c>
      <c r="T226" s="91">
        <v>0</v>
      </c>
      <c r="U226" s="91">
        <v>1963278.75</v>
      </c>
      <c r="V226" s="91">
        <v>0</v>
      </c>
      <c r="W226" s="91">
        <v>0</v>
      </c>
      <c r="X226" s="91">
        <v>0</v>
      </c>
      <c r="Y226" s="91">
        <v>100000</v>
      </c>
      <c r="Z226" s="91">
        <v>0</v>
      </c>
      <c r="AA226" s="91">
        <v>0</v>
      </c>
      <c r="AB226" s="91">
        <v>0</v>
      </c>
      <c r="AC226" s="91">
        <v>0</v>
      </c>
      <c r="AD226" s="91">
        <v>100000</v>
      </c>
      <c r="AE226" s="91">
        <v>0</v>
      </c>
      <c r="AF226" s="91">
        <v>0</v>
      </c>
      <c r="AG226" s="91">
        <v>0</v>
      </c>
      <c r="AH226" s="91">
        <v>283204</v>
      </c>
      <c r="AI226" s="91">
        <v>22122</v>
      </c>
      <c r="AJ226" s="91">
        <v>0</v>
      </c>
      <c r="AK226" s="91">
        <v>258502</v>
      </c>
      <c r="AL226" s="91">
        <v>2580</v>
      </c>
    </row>
    <row r="227" spans="1:38" ht="46.5" hidden="1" x14ac:dyDescent="0.25">
      <c r="A227" s="89" t="s">
        <v>532</v>
      </c>
      <c r="B227" s="90" t="s">
        <v>758</v>
      </c>
      <c r="C227" s="90">
        <v>9964505</v>
      </c>
      <c r="D227" s="90" t="str">
        <f>VLOOKUP(C227,'do průběžek'!$A$2:$D$246,2,FALSE)</f>
        <v>Obecně prospěšná společnost</v>
      </c>
      <c r="E227" s="90" t="str">
        <f>VLOOKUP(C227,'do průběžek'!$A$2:$D$246,3,FALSE)</f>
        <v>§49 - Domovy pro seniory</v>
      </c>
      <c r="F227" s="90" t="str">
        <f>VLOOKUP(C227,'do průběžek'!$A$2:$D$246,4,FALSE)</f>
        <v>pobytová</v>
      </c>
      <c r="G227" s="90">
        <f>VLOOKUP(C227,'do průběžek'!$H$2:$J$246,2,FALSE)</f>
        <v>23.4</v>
      </c>
      <c r="H227" s="90">
        <f>VLOOKUP(C227,'do průběžek'!$H$2:$J$246,3,FALSE)</f>
        <v>20</v>
      </c>
      <c r="I227" s="91">
        <v>9111042</v>
      </c>
      <c r="J227" s="91">
        <v>6343716</v>
      </c>
      <c r="K227" s="91">
        <v>4200000</v>
      </c>
      <c r="L227" s="91">
        <v>4200000</v>
      </c>
      <c r="M227" s="91">
        <v>0</v>
      </c>
      <c r="N227" s="91">
        <v>0</v>
      </c>
      <c r="O227" s="91">
        <v>0</v>
      </c>
      <c r="P227" s="91">
        <v>0</v>
      </c>
      <c r="Q227" s="91">
        <v>0</v>
      </c>
      <c r="R227" s="91">
        <v>0</v>
      </c>
      <c r="S227" s="91">
        <v>0</v>
      </c>
      <c r="T227" s="91">
        <v>0</v>
      </c>
      <c r="U227" s="91">
        <v>0</v>
      </c>
      <c r="V227" s="91">
        <v>0</v>
      </c>
      <c r="W227" s="91">
        <v>0</v>
      </c>
      <c r="X227" s="91">
        <v>0</v>
      </c>
      <c r="Y227" s="91">
        <v>2143716</v>
      </c>
      <c r="Z227" s="91">
        <v>0</v>
      </c>
      <c r="AA227" s="91">
        <v>1044500</v>
      </c>
      <c r="AB227" s="91">
        <v>1099216</v>
      </c>
      <c r="AC227" s="91">
        <v>0</v>
      </c>
      <c r="AD227" s="91">
        <v>0</v>
      </c>
      <c r="AE227" s="91">
        <v>0</v>
      </c>
      <c r="AF227" s="91">
        <v>0</v>
      </c>
      <c r="AG227" s="91">
        <v>0</v>
      </c>
      <c r="AH227" s="91">
        <v>4126469</v>
      </c>
      <c r="AI227" s="91">
        <v>567369</v>
      </c>
      <c r="AJ227" s="91">
        <v>2148906</v>
      </c>
      <c r="AK227" s="91">
        <v>1320178</v>
      </c>
      <c r="AL227" s="91">
        <v>90016</v>
      </c>
    </row>
    <row r="228" spans="1:38" ht="46.5" hidden="1" x14ac:dyDescent="0.25">
      <c r="A228" s="89" t="s">
        <v>532</v>
      </c>
      <c r="B228" s="90" t="s">
        <v>759</v>
      </c>
      <c r="C228" s="90">
        <v>9220832</v>
      </c>
      <c r="D228" s="90" t="str">
        <f>VLOOKUP(C228,'do průběžek'!$A$2:$D$246,2,FALSE)</f>
        <v>Ústav</v>
      </c>
      <c r="E228" s="90" t="str">
        <f>VLOOKUP(C228,'do průběžek'!$A$2:$D$246,3,FALSE)</f>
        <v>§50 - domovy se zvláštním režimem</v>
      </c>
      <c r="F228" s="90" t="str">
        <f>VLOOKUP(C228,'do průběžek'!$A$2:$D$246,4,FALSE)</f>
        <v>pobytová</v>
      </c>
      <c r="G228" s="90">
        <f>VLOOKUP(C228,'do průběžek'!$H$2:$J$246,2,FALSE)</f>
        <v>14</v>
      </c>
      <c r="H228" s="90">
        <f>VLOOKUP(C228,'do průběžek'!$H$2:$J$246,3,FALSE)</f>
        <v>10</v>
      </c>
      <c r="I228" s="91">
        <v>4928321</v>
      </c>
      <c r="J228" s="91">
        <v>20911523</v>
      </c>
      <c r="K228" s="91">
        <v>2500566</v>
      </c>
      <c r="L228" s="91">
        <v>2350000</v>
      </c>
      <c r="M228" s="91">
        <v>0</v>
      </c>
      <c r="N228" s="91">
        <v>0</v>
      </c>
      <c r="O228" s="91">
        <v>0</v>
      </c>
      <c r="P228" s="91">
        <v>0</v>
      </c>
      <c r="Q228" s="91">
        <v>0</v>
      </c>
      <c r="R228" s="91">
        <v>0</v>
      </c>
      <c r="S228" s="91">
        <v>150566</v>
      </c>
      <c r="T228" s="91">
        <v>0</v>
      </c>
      <c r="U228" s="91">
        <v>0</v>
      </c>
      <c r="V228" s="91">
        <v>0</v>
      </c>
      <c r="W228" s="91">
        <v>0</v>
      </c>
      <c r="X228" s="91">
        <v>0</v>
      </c>
      <c r="Y228" s="91">
        <v>18410957</v>
      </c>
      <c r="Z228" s="91">
        <v>7115989</v>
      </c>
      <c r="AA228" s="91">
        <v>0</v>
      </c>
      <c r="AB228" s="91">
        <v>8374653</v>
      </c>
      <c r="AC228" s="91">
        <v>0</v>
      </c>
      <c r="AD228" s="91">
        <v>36336</v>
      </c>
      <c r="AE228" s="91">
        <v>2574110</v>
      </c>
      <c r="AF228" s="91">
        <v>0</v>
      </c>
      <c r="AG228" s="91">
        <v>309869</v>
      </c>
      <c r="AH228" s="91">
        <v>3337526</v>
      </c>
      <c r="AI228" s="91">
        <v>213460</v>
      </c>
      <c r="AJ228" s="91">
        <v>0</v>
      </c>
      <c r="AK228" s="91">
        <v>2921094</v>
      </c>
      <c r="AL228" s="91">
        <v>202972</v>
      </c>
    </row>
    <row r="229" spans="1:38" ht="46.5" hidden="1" x14ac:dyDescent="0.25">
      <c r="A229" s="89" t="s">
        <v>532</v>
      </c>
      <c r="B229" s="90" t="s">
        <v>760</v>
      </c>
      <c r="C229" s="90">
        <v>7826049</v>
      </c>
      <c r="D229" s="90" t="str">
        <f>VLOOKUP(C229,'do průběžek'!$A$2:$D$246,2,FALSE)</f>
        <v>Společnost s ručením omezeným</v>
      </c>
      <c r="E229" s="90" t="str">
        <f>VLOOKUP(C229,'do průběžek'!$A$2:$D$246,3,FALSE)</f>
        <v>§49 - Domovy pro seniory</v>
      </c>
      <c r="F229" s="90" t="str">
        <f>VLOOKUP(C229,'do průběžek'!$A$2:$D$246,4,FALSE)</f>
        <v>pobytová</v>
      </c>
      <c r="G229" s="90">
        <f>VLOOKUP(C229,'do průběžek'!$H$2:$J$246,2,FALSE)</f>
        <v>5.26</v>
      </c>
      <c r="H229" s="90">
        <f>VLOOKUP(C229,'do průběžek'!$H$2:$J$246,3,FALSE)</f>
        <v>15</v>
      </c>
      <c r="I229" s="91">
        <v>6833282</v>
      </c>
      <c r="J229" s="91">
        <v>4339621</v>
      </c>
      <c r="K229" s="91">
        <v>2318000</v>
      </c>
      <c r="L229" s="91">
        <v>2318000</v>
      </c>
      <c r="M229" s="91">
        <v>0</v>
      </c>
      <c r="N229" s="91">
        <v>0</v>
      </c>
      <c r="O229" s="91">
        <v>0</v>
      </c>
      <c r="P229" s="91">
        <v>0</v>
      </c>
      <c r="Q229" s="91">
        <v>0</v>
      </c>
      <c r="R229" s="91">
        <v>0</v>
      </c>
      <c r="S229" s="91">
        <v>0</v>
      </c>
      <c r="T229" s="91">
        <v>0</v>
      </c>
      <c r="U229" s="91">
        <v>0</v>
      </c>
      <c r="V229" s="91">
        <v>0</v>
      </c>
      <c r="W229" s="91">
        <v>0</v>
      </c>
      <c r="X229" s="91">
        <v>0</v>
      </c>
      <c r="Y229" s="91">
        <v>2021621</v>
      </c>
      <c r="Z229" s="91">
        <v>915970</v>
      </c>
      <c r="AA229" s="91">
        <v>475473</v>
      </c>
      <c r="AB229" s="91">
        <v>630178</v>
      </c>
      <c r="AC229" s="91">
        <v>0</v>
      </c>
      <c r="AD229" s="91">
        <v>0</v>
      </c>
      <c r="AE229" s="91">
        <v>0</v>
      </c>
      <c r="AF229" s="91">
        <v>0</v>
      </c>
      <c r="AG229" s="91">
        <v>0</v>
      </c>
      <c r="AH229" s="91">
        <v>534489</v>
      </c>
      <c r="AI229" s="91">
        <v>66878</v>
      </c>
      <c r="AJ229" s="91">
        <v>60486</v>
      </c>
      <c r="AK229" s="91">
        <v>383845</v>
      </c>
      <c r="AL229" s="91">
        <v>23280</v>
      </c>
    </row>
    <row r="230" spans="1:38" ht="46.5" hidden="1" x14ac:dyDescent="0.25">
      <c r="A230" s="89" t="s">
        <v>532</v>
      </c>
      <c r="B230" s="90" t="s">
        <v>761</v>
      </c>
      <c r="C230" s="90">
        <v>3055579</v>
      </c>
      <c r="D230" s="90" t="str">
        <f>VLOOKUP(C230,'do průběžek'!$A$2:$D$246,2,FALSE)</f>
        <v>Společnost s ručením omezeným</v>
      </c>
      <c r="E230" s="90" t="str">
        <f>VLOOKUP(C230,'do průběžek'!$A$2:$D$246,3,FALSE)</f>
        <v>§50 - Domovy se zvláštním režimem</v>
      </c>
      <c r="F230" s="90" t="str">
        <f>VLOOKUP(C230,'do průběžek'!$A$2:$D$246,4,FALSE)</f>
        <v>pobytová</v>
      </c>
      <c r="G230" s="90">
        <f>VLOOKUP(C230,'do průběžek'!$H$2:$J$246,2,FALSE)</f>
        <v>28.02</v>
      </c>
      <c r="H230" s="90">
        <f>VLOOKUP(C230,'do průběžek'!$H$2:$J$246,3,FALSE)</f>
        <v>78</v>
      </c>
      <c r="I230" s="91">
        <v>38440901</v>
      </c>
      <c r="J230" s="91">
        <v>26656691</v>
      </c>
      <c r="K230" s="91">
        <v>14960000</v>
      </c>
      <c r="L230" s="91">
        <v>14960000</v>
      </c>
      <c r="M230" s="91">
        <v>0</v>
      </c>
      <c r="N230" s="91">
        <v>0</v>
      </c>
      <c r="O230" s="91">
        <v>0</v>
      </c>
      <c r="P230" s="91">
        <v>0</v>
      </c>
      <c r="Q230" s="91">
        <v>0</v>
      </c>
      <c r="R230" s="91">
        <v>0</v>
      </c>
      <c r="S230" s="91">
        <v>0</v>
      </c>
      <c r="T230" s="91">
        <v>0</v>
      </c>
      <c r="U230" s="91">
        <v>0</v>
      </c>
      <c r="V230" s="91">
        <v>0</v>
      </c>
      <c r="W230" s="91">
        <v>0</v>
      </c>
      <c r="X230" s="91">
        <v>0</v>
      </c>
      <c r="Y230" s="91">
        <v>11696691</v>
      </c>
      <c r="Z230" s="91">
        <v>4690445</v>
      </c>
      <c r="AA230" s="91">
        <v>3647810</v>
      </c>
      <c r="AB230" s="91">
        <v>3308436</v>
      </c>
      <c r="AC230" s="91">
        <v>0</v>
      </c>
      <c r="AD230" s="91">
        <v>50000</v>
      </c>
      <c r="AE230" s="91">
        <v>0</v>
      </c>
      <c r="AF230" s="91">
        <v>0</v>
      </c>
      <c r="AG230" s="91">
        <v>0</v>
      </c>
      <c r="AH230" s="91">
        <v>5399100</v>
      </c>
      <c r="AI230" s="91">
        <v>1676299</v>
      </c>
      <c r="AJ230" s="91">
        <v>1451664</v>
      </c>
      <c r="AK230" s="91">
        <v>2046097</v>
      </c>
      <c r="AL230" s="91">
        <v>225040</v>
      </c>
    </row>
    <row r="231" spans="1:38" ht="55.5" hidden="1" x14ac:dyDescent="0.25">
      <c r="A231" s="89" t="s">
        <v>650</v>
      </c>
      <c r="B231" s="90" t="s">
        <v>762</v>
      </c>
      <c r="C231" s="90">
        <v>7356784</v>
      </c>
      <c r="D231" s="90" t="str">
        <f>VLOOKUP(C231,'do průběžek'!$A$2:$D$246,2,FALSE)</f>
        <v>zapsaný ústav</v>
      </c>
      <c r="E231" s="90" t="str">
        <f>VLOOKUP(C231,'do průběžek'!$A$2:$D$246,3,FALSE)</f>
        <v>§62 - Nízkoprahová zařízení pro děti a mládež</v>
      </c>
      <c r="F231" s="90" t="str">
        <f>VLOOKUP(C231,'do průběžek'!$A$2:$D$246,4,FALSE)</f>
        <v>ambulantní a terénní</v>
      </c>
      <c r="G231" s="90">
        <f>VLOOKUP(C231,'do průběžek'!$H$2:$J$246,2,FALSE)</f>
        <v>3</v>
      </c>
      <c r="H231" s="90">
        <f>VLOOKUP(C231,'do průběžek'!$H$2:$J$246,3,FALSE)</f>
        <v>0</v>
      </c>
      <c r="I231" s="91">
        <v>3220538</v>
      </c>
      <c r="J231" s="91">
        <v>1457688</v>
      </c>
      <c r="K231" s="91">
        <v>1447688</v>
      </c>
      <c r="L231" s="91">
        <v>1238000</v>
      </c>
      <c r="M231" s="91">
        <v>0</v>
      </c>
      <c r="N231" s="91">
        <v>64000</v>
      </c>
      <c r="O231" s="91">
        <v>0</v>
      </c>
      <c r="P231" s="91">
        <v>0</v>
      </c>
      <c r="Q231" s="91">
        <v>0</v>
      </c>
      <c r="R231" s="91">
        <v>0</v>
      </c>
      <c r="S231" s="91">
        <v>145688</v>
      </c>
      <c r="T231" s="91">
        <v>0</v>
      </c>
      <c r="U231" s="91">
        <v>0</v>
      </c>
      <c r="V231" s="91">
        <v>0</v>
      </c>
      <c r="W231" s="91">
        <v>0</v>
      </c>
      <c r="X231" s="91">
        <v>0</v>
      </c>
      <c r="Y231" s="91">
        <v>10000</v>
      </c>
      <c r="Z231" s="91">
        <v>0</v>
      </c>
      <c r="AA231" s="91">
        <v>0</v>
      </c>
      <c r="AB231" s="91">
        <v>0</v>
      </c>
      <c r="AC231" s="91">
        <v>0</v>
      </c>
      <c r="AD231" s="91">
        <v>10000</v>
      </c>
      <c r="AE231" s="91">
        <v>0</v>
      </c>
      <c r="AF231" s="91">
        <v>0</v>
      </c>
      <c r="AG231" s="91">
        <v>0</v>
      </c>
      <c r="AH231" s="91">
        <v>100350</v>
      </c>
      <c r="AI231" s="91">
        <v>0</v>
      </c>
      <c r="AJ231" s="91">
        <v>0</v>
      </c>
      <c r="AK231" s="91">
        <v>100350</v>
      </c>
      <c r="AL231" s="91">
        <v>0</v>
      </c>
    </row>
    <row r="232" spans="1:38" ht="55.5" hidden="1" x14ac:dyDescent="0.25">
      <c r="A232" s="89" t="s">
        <v>650</v>
      </c>
      <c r="B232" s="90" t="s">
        <v>763</v>
      </c>
      <c r="C232" s="90">
        <v>8752756</v>
      </c>
      <c r="D232" s="90" t="str">
        <f>VLOOKUP(C232,'do průběžek'!$A$2:$D$246,2,FALSE)</f>
        <v>zapsaný ústav</v>
      </c>
      <c r="E232" s="90" t="str">
        <f>VLOOKUP(C232,'do průběžek'!$A$2:$D$246,3,FALSE)</f>
        <v>§62 - Nízkoprahová zařízení pro děti a mládež</v>
      </c>
      <c r="F232" s="90" t="str">
        <f>VLOOKUP(C232,'do průběžek'!$A$2:$D$246,4,FALSE)</f>
        <v>ambulantní a terénní</v>
      </c>
      <c r="G232" s="90">
        <f>VLOOKUP(C232,'do průběžek'!$H$2:$J$246,2,FALSE)</f>
        <v>3</v>
      </c>
      <c r="H232" s="90">
        <f>VLOOKUP(C232,'do průběžek'!$H$2:$J$246,3,FALSE)</f>
        <v>0</v>
      </c>
      <c r="I232" s="91">
        <v>3220538</v>
      </c>
      <c r="J232" s="91">
        <v>1390624</v>
      </c>
      <c r="K232" s="91">
        <v>1380624</v>
      </c>
      <c r="L232" s="91">
        <v>1073000</v>
      </c>
      <c r="M232" s="91">
        <v>0</v>
      </c>
      <c r="N232" s="91">
        <v>64000</v>
      </c>
      <c r="O232" s="91">
        <v>0</v>
      </c>
      <c r="P232" s="91">
        <v>0</v>
      </c>
      <c r="Q232" s="91">
        <v>0</v>
      </c>
      <c r="R232" s="91">
        <v>0</v>
      </c>
      <c r="S232" s="91">
        <v>0</v>
      </c>
      <c r="T232" s="91">
        <v>0</v>
      </c>
      <c r="U232" s="91">
        <v>0</v>
      </c>
      <c r="V232" s="91">
        <v>0</v>
      </c>
      <c r="W232" s="91">
        <v>243624</v>
      </c>
      <c r="X232" s="91">
        <v>0</v>
      </c>
      <c r="Y232" s="91">
        <v>10000</v>
      </c>
      <c r="Z232" s="91">
        <v>0</v>
      </c>
      <c r="AA232" s="91">
        <v>0</v>
      </c>
      <c r="AB232" s="91">
        <v>0</v>
      </c>
      <c r="AC232" s="91">
        <v>0</v>
      </c>
      <c r="AD232" s="91">
        <v>10000</v>
      </c>
      <c r="AE232" s="91">
        <v>0</v>
      </c>
      <c r="AF232" s="91">
        <v>0</v>
      </c>
      <c r="AG232" s="91">
        <v>0</v>
      </c>
      <c r="AH232" s="91">
        <v>100350</v>
      </c>
      <c r="AI232" s="91">
        <v>0</v>
      </c>
      <c r="AJ232" s="91">
        <v>0</v>
      </c>
      <c r="AK232" s="91">
        <v>100350</v>
      </c>
      <c r="AL232" s="91">
        <v>0</v>
      </c>
    </row>
    <row r="233" spans="1:38" ht="55.5" hidden="1" x14ac:dyDescent="0.25">
      <c r="A233" s="89" t="s">
        <v>650</v>
      </c>
      <c r="B233" s="90" t="s">
        <v>764</v>
      </c>
      <c r="C233" s="90">
        <v>8935632</v>
      </c>
      <c r="D233" s="90" t="str">
        <f>VLOOKUP(C233,'do průběžek'!$A$2:$D$246,2,FALSE)</f>
        <v>zapsaný ústav</v>
      </c>
      <c r="E233" s="90" t="str">
        <f>VLOOKUP(C233,'do průběžek'!$A$2:$D$246,3,FALSE)</f>
        <v>§62 - Nízkoprahová zařízení pro děti a mládež</v>
      </c>
      <c r="F233" s="90" t="str">
        <f>VLOOKUP(C233,'do průběžek'!$A$2:$D$246,4,FALSE)</f>
        <v>ambulantní a terénní</v>
      </c>
      <c r="G233" s="90">
        <f>VLOOKUP(C233,'do průběžek'!$H$2:$J$246,2,FALSE)</f>
        <v>3</v>
      </c>
      <c r="H233" s="90">
        <f>VLOOKUP(C233,'do průběžek'!$H$2:$J$246,3,FALSE)</f>
        <v>0</v>
      </c>
      <c r="I233" s="91">
        <v>3220538</v>
      </c>
      <c r="J233" s="91">
        <v>1406702</v>
      </c>
      <c r="K233" s="91">
        <v>1406702</v>
      </c>
      <c r="L233" s="91">
        <v>1238000</v>
      </c>
      <c r="M233" s="91">
        <v>0</v>
      </c>
      <c r="N233" s="91">
        <v>64000</v>
      </c>
      <c r="O233" s="91">
        <v>0</v>
      </c>
      <c r="P233" s="91">
        <v>0</v>
      </c>
      <c r="Q233" s="91">
        <v>0</v>
      </c>
      <c r="R233" s="91">
        <v>0</v>
      </c>
      <c r="S233" s="91">
        <v>104702</v>
      </c>
      <c r="T233" s="91">
        <v>0</v>
      </c>
      <c r="U233" s="91">
        <v>0</v>
      </c>
      <c r="V233" s="91">
        <v>0</v>
      </c>
      <c r="W233" s="91">
        <v>0</v>
      </c>
      <c r="X233" s="91">
        <v>0</v>
      </c>
      <c r="Y233" s="91">
        <v>0</v>
      </c>
      <c r="Z233" s="91">
        <v>0</v>
      </c>
      <c r="AA233" s="91">
        <v>0</v>
      </c>
      <c r="AB233" s="91">
        <v>0</v>
      </c>
      <c r="AC233" s="91">
        <v>0</v>
      </c>
      <c r="AD233" s="91">
        <v>0</v>
      </c>
      <c r="AE233" s="91">
        <v>0</v>
      </c>
      <c r="AF233" s="91">
        <v>0</v>
      </c>
      <c r="AG233" s="91">
        <v>0</v>
      </c>
      <c r="AH233" s="91">
        <v>130779</v>
      </c>
      <c r="AI233" s="91">
        <v>37199</v>
      </c>
      <c r="AJ233" s="91">
        <v>0</v>
      </c>
      <c r="AK233" s="91">
        <v>93580</v>
      </c>
      <c r="AL233" s="91">
        <v>0</v>
      </c>
    </row>
    <row r="234" spans="1:38" ht="55.5" hidden="1" x14ac:dyDescent="0.25">
      <c r="A234" s="89" t="s">
        <v>650</v>
      </c>
      <c r="B234" s="90" t="s">
        <v>765</v>
      </c>
      <c r="C234" s="90">
        <v>3661910</v>
      </c>
      <c r="D234" s="90" t="str">
        <f>VLOOKUP(C234,'do průběžek'!$A$2:$D$246,2,FALSE)</f>
        <v>Zapsaný ústav</v>
      </c>
      <c r="E234" s="90" t="str">
        <f>VLOOKUP(C234,'do průběžek'!$A$2:$D$246,3,FALSE)</f>
        <v>§65 - Sociálně aktivizační služby pro rodiny s dětmi</v>
      </c>
      <c r="F234" s="90" t="str">
        <f>VLOOKUP(C234,'do průběžek'!$A$2:$D$246,4,FALSE)</f>
        <v>ambulantní a terénní</v>
      </c>
      <c r="G234" s="90">
        <f>VLOOKUP(C234,'do průběžek'!$H$2:$J$246,2,FALSE)</f>
        <v>2</v>
      </c>
      <c r="H234" s="90">
        <f>VLOOKUP(C234,'do průběžek'!$H$2:$J$246,3,FALSE)</f>
        <v>0</v>
      </c>
      <c r="I234" s="91">
        <v>2078767</v>
      </c>
      <c r="J234" s="91">
        <v>1063054</v>
      </c>
      <c r="K234" s="91">
        <v>1053054</v>
      </c>
      <c r="L234" s="91">
        <v>931000</v>
      </c>
      <c r="M234" s="91">
        <v>0</v>
      </c>
      <c r="N234" s="91">
        <v>43000</v>
      </c>
      <c r="O234" s="91">
        <v>0</v>
      </c>
      <c r="P234" s="91">
        <v>0</v>
      </c>
      <c r="Q234" s="91">
        <v>0</v>
      </c>
      <c r="R234" s="91">
        <v>0</v>
      </c>
      <c r="S234" s="91">
        <v>79054</v>
      </c>
      <c r="T234" s="91">
        <v>0</v>
      </c>
      <c r="U234" s="91">
        <v>0</v>
      </c>
      <c r="V234" s="91">
        <v>0</v>
      </c>
      <c r="W234" s="91">
        <v>0</v>
      </c>
      <c r="X234" s="91">
        <v>0</v>
      </c>
      <c r="Y234" s="91">
        <v>10000</v>
      </c>
      <c r="Z234" s="91">
        <v>0</v>
      </c>
      <c r="AA234" s="91">
        <v>0</v>
      </c>
      <c r="AB234" s="91">
        <v>0</v>
      </c>
      <c r="AC234" s="91">
        <v>0</v>
      </c>
      <c r="AD234" s="91">
        <v>10000</v>
      </c>
      <c r="AE234" s="91">
        <v>0</v>
      </c>
      <c r="AF234" s="91">
        <v>0</v>
      </c>
      <c r="AG234" s="91">
        <v>0</v>
      </c>
      <c r="AH234" s="91">
        <v>66900</v>
      </c>
      <c r="AI234" s="91">
        <v>0</v>
      </c>
      <c r="AJ234" s="91">
        <v>0</v>
      </c>
      <c r="AK234" s="91">
        <v>66900</v>
      </c>
      <c r="AL234" s="91">
        <v>0</v>
      </c>
    </row>
    <row r="235" spans="1:38" ht="46.5" hidden="1" x14ac:dyDescent="0.25">
      <c r="A235" s="89" t="s">
        <v>532</v>
      </c>
      <c r="B235" s="90" t="s">
        <v>766</v>
      </c>
      <c r="C235" s="90">
        <v>1226991</v>
      </c>
      <c r="D235" s="90" t="str">
        <f>VLOOKUP(C235,'do průběžek'!$A$2:$D$246,2,FALSE)</f>
        <v>Obecně prospěšná společnost</v>
      </c>
      <c r="E235" s="90" t="str">
        <f>VLOOKUP(C235,'do průběžek'!$A$2:$D$246,3,FALSE)</f>
        <v>§50 - Domovy se zvláštním režimem</v>
      </c>
      <c r="F235" s="90" t="str">
        <f>VLOOKUP(C235,'do průběžek'!$A$2:$D$246,4,FALSE)</f>
        <v>pobytová</v>
      </c>
      <c r="G235" s="90">
        <f>VLOOKUP(C235,'do průběžek'!$H$2:$J$246,2,FALSE)</f>
        <v>9</v>
      </c>
      <c r="H235" s="90">
        <f>VLOOKUP(C235,'do průběžek'!$H$2:$J$246,3,FALSE)</f>
        <v>9</v>
      </c>
      <c r="I235" s="91">
        <v>5036239</v>
      </c>
      <c r="J235" s="91">
        <v>3879961</v>
      </c>
      <c r="K235" s="91">
        <v>3062545</v>
      </c>
      <c r="L235" s="91">
        <v>2712000</v>
      </c>
      <c r="M235" s="91">
        <v>0</v>
      </c>
      <c r="N235" s="91">
        <v>231000</v>
      </c>
      <c r="O235" s="91">
        <v>0</v>
      </c>
      <c r="P235" s="91">
        <v>0</v>
      </c>
      <c r="Q235" s="91">
        <v>0</v>
      </c>
      <c r="R235" s="91">
        <v>0</v>
      </c>
      <c r="S235" s="91">
        <v>119545</v>
      </c>
      <c r="T235" s="91">
        <v>0</v>
      </c>
      <c r="U235" s="91">
        <v>0</v>
      </c>
      <c r="V235" s="91">
        <v>0</v>
      </c>
      <c r="W235" s="91">
        <v>0</v>
      </c>
      <c r="X235" s="91">
        <v>0</v>
      </c>
      <c r="Y235" s="91">
        <v>817416</v>
      </c>
      <c r="Z235" s="91">
        <v>802416</v>
      </c>
      <c r="AA235" s="91">
        <v>0</v>
      </c>
      <c r="AB235" s="91">
        <v>0</v>
      </c>
      <c r="AC235" s="91">
        <v>0</v>
      </c>
      <c r="AD235" s="91">
        <v>15000</v>
      </c>
      <c r="AE235" s="91">
        <v>0</v>
      </c>
      <c r="AF235" s="91">
        <v>0</v>
      </c>
      <c r="AG235" s="91">
        <v>0</v>
      </c>
      <c r="AH235" s="91">
        <v>80268</v>
      </c>
      <c r="AI235" s="91">
        <v>0</v>
      </c>
      <c r="AJ235" s="91">
        <v>0</v>
      </c>
      <c r="AK235" s="91">
        <v>80268</v>
      </c>
      <c r="AL235" s="91">
        <v>0</v>
      </c>
    </row>
    <row r="236" spans="1:38" ht="55.5" hidden="1" x14ac:dyDescent="0.25">
      <c r="A236" s="89" t="s">
        <v>650</v>
      </c>
      <c r="B236" s="90" t="s">
        <v>767</v>
      </c>
      <c r="C236" s="90">
        <v>3912232</v>
      </c>
      <c r="D236" s="90" t="str">
        <f>VLOOKUP(C236,'do průběžek'!$A$2:$D$246,2,FALSE)</f>
        <v>Zapsaný ústav</v>
      </c>
      <c r="E236" s="90" t="str">
        <f>VLOOKUP(C236,'do průběžek'!$A$2:$D$246,3,FALSE)</f>
        <v>§65 - Sociálně aktivizační služby pro rodiny s dětmi</v>
      </c>
      <c r="F236" s="90" t="str">
        <f>VLOOKUP(C236,'do průběžek'!$A$2:$D$246,4,FALSE)</f>
        <v>ambulantní a terénní</v>
      </c>
      <c r="G236" s="90">
        <f>VLOOKUP(C236,'do průběžek'!$H$2:$J$246,2,FALSE)</f>
        <v>1</v>
      </c>
      <c r="H236" s="90">
        <f>VLOOKUP(C236,'do průběžek'!$H$2:$J$246,3,FALSE)</f>
        <v>0</v>
      </c>
      <c r="I236" s="91">
        <v>1039383</v>
      </c>
      <c r="J236" s="91">
        <v>554118</v>
      </c>
      <c r="K236" s="91">
        <v>554118</v>
      </c>
      <c r="L236" s="91">
        <v>471000</v>
      </c>
      <c r="M236" s="91">
        <v>0</v>
      </c>
      <c r="N236" s="91">
        <v>21000</v>
      </c>
      <c r="O236" s="91">
        <v>0</v>
      </c>
      <c r="P236" s="91">
        <v>0</v>
      </c>
      <c r="Q236" s="91">
        <v>0</v>
      </c>
      <c r="R236" s="91">
        <v>0</v>
      </c>
      <c r="S236" s="91">
        <v>62118</v>
      </c>
      <c r="T236" s="91">
        <v>0</v>
      </c>
      <c r="U236" s="91">
        <v>0</v>
      </c>
      <c r="V236" s="91">
        <v>0</v>
      </c>
      <c r="W236" s="91">
        <v>0</v>
      </c>
      <c r="X236" s="91">
        <v>0</v>
      </c>
      <c r="Y236" s="91">
        <v>0</v>
      </c>
      <c r="Z236" s="91">
        <v>0</v>
      </c>
      <c r="AA236" s="91">
        <v>0</v>
      </c>
      <c r="AB236" s="91">
        <v>0</v>
      </c>
      <c r="AC236" s="91">
        <v>0</v>
      </c>
      <c r="AD236" s="91">
        <v>0</v>
      </c>
      <c r="AE236" s="91">
        <v>0</v>
      </c>
      <c r="AF236" s="91">
        <v>0</v>
      </c>
      <c r="AG236" s="91">
        <v>0</v>
      </c>
      <c r="AH236" s="91">
        <v>15788</v>
      </c>
      <c r="AI236" s="91">
        <v>0</v>
      </c>
      <c r="AJ236" s="91">
        <v>0</v>
      </c>
      <c r="AK236" s="91">
        <v>15788</v>
      </c>
      <c r="AL236" s="91">
        <v>0</v>
      </c>
    </row>
    <row r="237" spans="1:38" ht="55.5" hidden="1" x14ac:dyDescent="0.25">
      <c r="A237" s="89" t="s">
        <v>650</v>
      </c>
      <c r="B237" s="90" t="s">
        <v>768</v>
      </c>
      <c r="C237" s="90">
        <v>1273599</v>
      </c>
      <c r="D237" s="90" t="str">
        <f>VLOOKUP(C237,'do průběžek'!$A$2:$D$246,2,FALSE)</f>
        <v>spolek</v>
      </c>
      <c r="E237" s="90" t="str">
        <f>VLOOKUP(C237,'do průběžek'!$A$2:$D$246,3,FALSE)</f>
        <v>§66 - Sociálně aktivizační služby pro seniory a osoby se zdravotním postižením</v>
      </c>
      <c r="F237" s="90" t="str">
        <f>VLOOKUP(C237,'do průběžek'!$A$2:$D$246,4,FALSE)</f>
        <v>ambulantní a terénní</v>
      </c>
      <c r="G237" s="90">
        <f>VLOOKUP(C237,'do průběžek'!$H$2:$J$246,2,FALSE)</f>
        <v>3</v>
      </c>
      <c r="H237" s="90">
        <f>VLOOKUP(C237,'do průběžek'!$H$2:$J$246,3,FALSE)</f>
        <v>0</v>
      </c>
      <c r="I237" s="91">
        <v>3035905</v>
      </c>
      <c r="J237" s="91">
        <v>1409048</v>
      </c>
      <c r="K237" s="91">
        <v>1093000</v>
      </c>
      <c r="L237" s="91">
        <v>1093000</v>
      </c>
      <c r="M237" s="91">
        <v>0</v>
      </c>
      <c r="N237" s="91">
        <v>0</v>
      </c>
      <c r="O237" s="91">
        <v>0</v>
      </c>
      <c r="P237" s="91">
        <v>0</v>
      </c>
      <c r="Q237" s="91">
        <v>0</v>
      </c>
      <c r="R237" s="91">
        <v>0</v>
      </c>
      <c r="S237" s="91">
        <v>0</v>
      </c>
      <c r="T237" s="91">
        <v>0</v>
      </c>
      <c r="U237" s="91">
        <v>0</v>
      </c>
      <c r="V237" s="91">
        <v>0</v>
      </c>
      <c r="W237" s="91">
        <v>0</v>
      </c>
      <c r="X237" s="91">
        <v>0</v>
      </c>
      <c r="Y237" s="91">
        <v>316048</v>
      </c>
      <c r="Z237" s="91">
        <v>0</v>
      </c>
      <c r="AA237" s="91">
        <v>0</v>
      </c>
      <c r="AB237" s="91">
        <v>0</v>
      </c>
      <c r="AC237" s="91">
        <v>0</v>
      </c>
      <c r="AD237" s="91">
        <v>239048</v>
      </c>
      <c r="AE237" s="91">
        <v>0</v>
      </c>
      <c r="AF237" s="91">
        <v>77000</v>
      </c>
      <c r="AG237" s="91">
        <v>0</v>
      </c>
      <c r="AH237" s="91">
        <v>81654</v>
      </c>
      <c r="AI237" s="91">
        <v>0</v>
      </c>
      <c r="AJ237" s="91">
        <v>0</v>
      </c>
      <c r="AK237" s="91">
        <v>78474</v>
      </c>
      <c r="AL237" s="91">
        <v>3180</v>
      </c>
    </row>
    <row r="238" spans="1:38" ht="19.5" hidden="1" x14ac:dyDescent="0.25">
      <c r="A238" s="89"/>
      <c r="B238" s="90" t="s">
        <v>769</v>
      </c>
      <c r="C238" s="90">
        <v>3906688</v>
      </c>
      <c r="D238" s="90" t="e">
        <f>VLOOKUP(C238,'do průběžek'!$A$2:$D$246,2,FALSE)</f>
        <v>#N/A</v>
      </c>
      <c r="E238" s="90" t="e">
        <f>VLOOKUP(C238,'do průběžek'!$A$2:$D$246,3,FALSE)</f>
        <v>#N/A</v>
      </c>
      <c r="F238" s="90" t="e">
        <f>VLOOKUP(C238,'do průběžek'!$A$2:$D$246,4,FALSE)</f>
        <v>#N/A</v>
      </c>
      <c r="G238" s="90" t="e">
        <f>VLOOKUP(C238,'do průběžek'!$H$2:$J$246,2,FALSE)</f>
        <v>#N/A</v>
      </c>
      <c r="H238" s="90" t="e">
        <f>VLOOKUP(C238,'do průběžek'!$H$2:$J$246,3,FALSE)</f>
        <v>#N/A</v>
      </c>
      <c r="I238" s="91">
        <v>0</v>
      </c>
      <c r="J238" s="91">
        <v>4195952</v>
      </c>
      <c r="K238" s="91">
        <v>0</v>
      </c>
      <c r="L238" s="91">
        <v>0</v>
      </c>
      <c r="M238" s="91">
        <v>0</v>
      </c>
      <c r="N238" s="91">
        <v>0</v>
      </c>
      <c r="O238" s="91">
        <v>0</v>
      </c>
      <c r="P238" s="91">
        <v>0</v>
      </c>
      <c r="Q238" s="91">
        <v>0</v>
      </c>
      <c r="R238" s="91">
        <v>0</v>
      </c>
      <c r="S238" s="91">
        <v>0</v>
      </c>
      <c r="T238" s="91">
        <v>0</v>
      </c>
      <c r="U238" s="91">
        <v>0</v>
      </c>
      <c r="V238" s="91">
        <v>0</v>
      </c>
      <c r="W238" s="91">
        <v>0</v>
      </c>
      <c r="X238" s="91">
        <v>0</v>
      </c>
      <c r="Y238" s="91">
        <v>4195952</v>
      </c>
      <c r="Z238" s="91">
        <v>4190952</v>
      </c>
      <c r="AA238" s="91">
        <v>0</v>
      </c>
      <c r="AB238" s="91">
        <v>0</v>
      </c>
      <c r="AC238" s="91">
        <v>0</v>
      </c>
      <c r="AD238" s="91">
        <v>5000</v>
      </c>
      <c r="AE238" s="91">
        <v>0</v>
      </c>
      <c r="AF238" s="91">
        <v>0</v>
      </c>
      <c r="AG238" s="91">
        <v>0</v>
      </c>
      <c r="AH238" s="91">
        <v>2289040</v>
      </c>
      <c r="AI238" s="91">
        <v>291130</v>
      </c>
      <c r="AJ238" s="91">
        <v>859345</v>
      </c>
      <c r="AK238" s="91">
        <v>1021001</v>
      </c>
      <c r="AL238" s="91">
        <v>117564</v>
      </c>
    </row>
  </sheetData>
  <autoFilter ref="A2:AM238" xr:uid="{6F29EA7D-85F0-4863-B107-81B4F15E3919}">
    <filterColumn colId="4">
      <filters>
        <filter val="§48 - Domovy pro osoby se zdravotním postižením"/>
      </filters>
    </filterColumn>
  </autoFilter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9867a2-d638-453f-993d-1baca0b76f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FB3A079B7FD74283237F1D8D8E4285" ma:contentTypeVersion="16" ma:contentTypeDescription="Vytvoří nový dokument" ma:contentTypeScope="" ma:versionID="115bc29196fe5209e2ef7d2bb758d123">
  <xsd:schema xmlns:xsd="http://www.w3.org/2001/XMLSchema" xmlns:xs="http://www.w3.org/2001/XMLSchema" xmlns:p="http://schemas.microsoft.com/office/2006/metadata/properties" xmlns:ns3="169867a2-d638-453f-993d-1baca0b76f81" xmlns:ns4="94aa8773-50bc-482c-b066-6c2b40fc8d80" targetNamespace="http://schemas.microsoft.com/office/2006/metadata/properties" ma:root="true" ma:fieldsID="a77f5863bdf665f1e52de82f8a3d7e6c" ns3:_="" ns4:_="">
    <xsd:import namespace="169867a2-d638-453f-993d-1baca0b76f81"/>
    <xsd:import namespace="94aa8773-50bc-482c-b066-6c2b40fc8d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867a2-d638-453f-993d-1baca0b76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a8773-50bc-482c-b066-6c2b40fc8d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74E221-1EAD-40FA-9B6D-8EC708CA3123}">
  <ds:schemaRefs>
    <ds:schemaRef ds:uri="http://www.w3.org/XML/1998/namespace"/>
    <ds:schemaRef ds:uri="http://purl.org/dc/terms/"/>
    <ds:schemaRef ds:uri="94aa8773-50bc-482c-b066-6c2b40fc8d80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69867a2-d638-453f-993d-1baca0b76f81"/>
  </ds:schemaRefs>
</ds:datastoreItem>
</file>

<file path=customXml/itemProps2.xml><?xml version="1.0" encoding="utf-8"?>
<ds:datastoreItem xmlns:ds="http://schemas.openxmlformats.org/officeDocument/2006/customXml" ds:itemID="{2663471C-FB75-40DD-8E33-EF97BB4C7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21E89C-50DA-43F7-8B88-42FFED7A5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867a2-d638-453f-993d-1baca0b76f81"/>
    <ds:schemaRef ds:uri="94aa8773-50bc-482c-b066-6c2b40fc8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12</vt:i4>
      </vt:variant>
      <vt:variant>
        <vt:lpstr>Grafy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15" baseType="lpstr">
      <vt:lpstr>List3</vt:lpstr>
      <vt:lpstr>Financování ZSLK 2024</vt:lpstr>
      <vt:lpstr>Financování ZSLK 2025</vt:lpstr>
      <vt:lpstr>List1</vt:lpstr>
      <vt:lpstr>List2</vt:lpstr>
      <vt:lpstr>Tabulka - financování kraj</vt:lpstr>
      <vt:lpstr>ÚZ_13305_2023</vt:lpstr>
      <vt:lpstr>do průběžek</vt:lpstr>
      <vt:lpstr>Data - Průběžky 2021</vt:lpstr>
      <vt:lpstr>Průběžky 2021 - celkové částky</vt:lpstr>
      <vt:lpstr>Průběžky 2021 - rozdělení</vt:lpstr>
      <vt:lpstr>List5</vt:lpstr>
      <vt:lpstr>Graf1</vt:lpstr>
      <vt:lpstr>'Tabulka - financování kraj'!Názvy_tisku</vt:lpstr>
      <vt:lpstr>'Tabulka - financování kraj'!Oblast_tisku</vt:lpstr>
    </vt:vector>
  </TitlesOfParts>
  <Manager/>
  <Company>KULK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Vinčálková Hana</dc:creator>
  <cp:keywords/>
  <dc:description/>
  <cp:lastModifiedBy>Vinčálková Hana</cp:lastModifiedBy>
  <cp:revision/>
  <dcterms:created xsi:type="dcterms:W3CDTF">2021-11-02T07:09:36Z</dcterms:created>
  <dcterms:modified xsi:type="dcterms:W3CDTF">2026-01-08T16:43:23Z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0x010100B3FB3A079B7FD74283237F1D8D8E4285</vt:lpwstr>
  </property>
</Properties>
</file>